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61.xml" ContentType="application/vnd.openxmlformats-officedocument.spreadsheetml.table+xml"/>
  <Override PartName="/xl/tables/table112.xml" ContentType="application/vnd.openxmlformats-officedocument.spreadsheetml.table+xml"/>
  <Override PartName="/xl/tables/table13.xml" ContentType="application/vnd.openxmlformats-officedocument.spreadsheetml.table+xml"/>
  <Override PartName="/xl/tables/table54.xml" ContentType="application/vnd.openxmlformats-officedocument.spreadsheetml.table+xml"/>
  <Override PartName="/xl/tables/table105.xml" ContentType="application/vnd.openxmlformats-officedocument.spreadsheetml.table+xml"/>
  <Override PartName="/xl/drawings/drawing11.xml" ContentType="application/vnd.openxmlformats-officedocument.drawing+xml"/>
  <Override PartName="/xl/tables/table46.xml" ContentType="application/vnd.openxmlformats-officedocument.spreadsheetml.table+xml"/>
  <Override PartName="/xl/tables/table97.xml" ContentType="application/vnd.openxmlformats-officedocument.spreadsheetml.table+xml"/>
  <Override PartName="/xl/tables/table38.xml" ContentType="application/vnd.openxmlformats-officedocument.spreadsheetml.table+xml"/>
  <Override PartName="/xl/tables/table139.xml" ContentType="application/vnd.openxmlformats-officedocument.spreadsheetml.table+xml"/>
  <Override PartName="/xl/tables/table810.xml" ContentType="application/vnd.openxmlformats-officedocument.spreadsheetml.table+xml"/>
  <Override PartName="/xl/tables/table211.xml" ContentType="application/vnd.openxmlformats-officedocument.spreadsheetml.table+xml"/>
  <Override PartName="/xl/tables/table712.xml" ContentType="application/vnd.openxmlformats-officedocument.spreadsheetml.table+xml"/>
  <Override PartName="/xl/tables/table1213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0"/>
  <workbookPr/>
  <mc:AlternateContent xmlns:mc="http://schemas.openxmlformats.org/markup-compatibility/2006">
    <mc:Choice Requires="x15">
      <x15ac:absPath xmlns:x15ac="http://schemas.microsoft.com/office/spreadsheetml/2010/11/ac" url="\\sh-cn-1\PubMed\Templates\20200415_Missing_WAC_templates_Q4_B4\04_PreDTP_Done\it-IT\"/>
    </mc:Choice>
  </mc:AlternateContent>
  <xr:revisionPtr revIDLastSave="0" documentId="13_ncr:1_{14027330-00D1-4234-BFC1-E6C4FDEA5907}" xr6:coauthVersionLast="45" xr6:coauthVersionMax="45" xr10:uidLastSave="{00000000-0000-0000-0000-000000000000}"/>
  <bookViews>
    <workbookView xWindow="-120" yWindow="-120" windowWidth="28890" windowHeight="16110" xr2:uid="{00000000-000D-0000-FFFF-FFFF00000000}"/>
  </bookViews>
  <sheets>
    <sheet name="BUDGET PERSONALE" sheetId="1" r:id="rId1"/>
  </sheets>
  <definedNames>
    <definedName name="AreaStampa_SET">OFFSET('BUDGET PERSONALE'!$C$2,,,MATCH(REPT("z",255),'BUDGET PERSONALE'!$C:$C),UltimaCol)</definedName>
    <definedName name="UltimaCol">COUNTA('BUDGET PERSONALE'!$4:$4)+1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6" i="1"/>
  <c r="P18" i="1"/>
  <c r="P17" i="1"/>
  <c r="E126" i="1" l="1"/>
  <c r="F126" i="1"/>
  <c r="G126" i="1"/>
  <c r="H126" i="1"/>
  <c r="I126" i="1"/>
  <c r="J126" i="1"/>
  <c r="K126" i="1"/>
  <c r="L126" i="1"/>
  <c r="M126" i="1"/>
  <c r="N126" i="1"/>
  <c r="O126" i="1"/>
  <c r="D126" i="1"/>
  <c r="E116" i="1"/>
  <c r="F116" i="1"/>
  <c r="G116" i="1"/>
  <c r="H116" i="1"/>
  <c r="I116" i="1"/>
  <c r="J116" i="1"/>
  <c r="K116" i="1"/>
  <c r="L116" i="1"/>
  <c r="M116" i="1"/>
  <c r="N116" i="1"/>
  <c r="O116" i="1"/>
  <c r="D116" i="1"/>
  <c r="E106" i="1"/>
  <c r="F106" i="1"/>
  <c r="G106" i="1"/>
  <c r="H106" i="1"/>
  <c r="I106" i="1"/>
  <c r="J106" i="1"/>
  <c r="K106" i="1"/>
  <c r="L106" i="1"/>
  <c r="M106" i="1"/>
  <c r="N106" i="1"/>
  <c r="O106" i="1"/>
  <c r="D106" i="1"/>
  <c r="E96" i="1"/>
  <c r="F96" i="1"/>
  <c r="G96" i="1"/>
  <c r="H96" i="1"/>
  <c r="I96" i="1"/>
  <c r="J96" i="1"/>
  <c r="K96" i="1"/>
  <c r="L96" i="1"/>
  <c r="M96" i="1"/>
  <c r="N96" i="1"/>
  <c r="O96" i="1"/>
  <c r="D96" i="1"/>
  <c r="E84" i="1"/>
  <c r="F84" i="1"/>
  <c r="G84" i="1"/>
  <c r="H84" i="1"/>
  <c r="I84" i="1"/>
  <c r="J84" i="1"/>
  <c r="K84" i="1"/>
  <c r="L84" i="1"/>
  <c r="M84" i="1"/>
  <c r="N84" i="1"/>
  <c r="O84" i="1"/>
  <c r="D84" i="1"/>
  <c r="E75" i="1"/>
  <c r="F75" i="1"/>
  <c r="G75" i="1"/>
  <c r="H75" i="1"/>
  <c r="I75" i="1"/>
  <c r="J75" i="1"/>
  <c r="K75" i="1"/>
  <c r="L75" i="1"/>
  <c r="M75" i="1"/>
  <c r="N75" i="1"/>
  <c r="O75" i="1"/>
  <c r="D75" i="1"/>
  <c r="E64" i="1"/>
  <c r="F64" i="1"/>
  <c r="G64" i="1"/>
  <c r="H64" i="1"/>
  <c r="I64" i="1"/>
  <c r="J64" i="1"/>
  <c r="K64" i="1"/>
  <c r="L64" i="1"/>
  <c r="M64" i="1"/>
  <c r="N64" i="1"/>
  <c r="O64" i="1"/>
  <c r="D64" i="1"/>
  <c r="P122" i="1"/>
  <c r="P123" i="1"/>
  <c r="P124" i="1"/>
  <c r="P125" i="1"/>
  <c r="P121" i="1"/>
  <c r="P112" i="1"/>
  <c r="P113" i="1"/>
  <c r="P114" i="1"/>
  <c r="P115" i="1"/>
  <c r="P111" i="1"/>
  <c r="P102" i="1"/>
  <c r="P103" i="1"/>
  <c r="P104" i="1"/>
  <c r="P105" i="1"/>
  <c r="P101" i="1"/>
  <c r="P90" i="1"/>
  <c r="P91" i="1"/>
  <c r="P92" i="1"/>
  <c r="P93" i="1"/>
  <c r="P94" i="1"/>
  <c r="P95" i="1"/>
  <c r="P89" i="1"/>
  <c r="P81" i="1"/>
  <c r="P82" i="1"/>
  <c r="P83" i="1"/>
  <c r="P80" i="1"/>
  <c r="P70" i="1"/>
  <c r="P71" i="1"/>
  <c r="P72" i="1"/>
  <c r="P73" i="1"/>
  <c r="P74" i="1"/>
  <c r="P69" i="1"/>
  <c r="P58" i="1"/>
  <c r="P59" i="1"/>
  <c r="P60" i="1"/>
  <c r="P61" i="1"/>
  <c r="P62" i="1"/>
  <c r="P63" i="1"/>
  <c r="P57" i="1"/>
  <c r="E52" i="1"/>
  <c r="F52" i="1"/>
  <c r="G52" i="1"/>
  <c r="H52" i="1"/>
  <c r="I52" i="1"/>
  <c r="J52" i="1"/>
  <c r="K52" i="1"/>
  <c r="L52" i="1"/>
  <c r="M52" i="1"/>
  <c r="N52" i="1"/>
  <c r="O52" i="1"/>
  <c r="D52" i="1"/>
  <c r="P49" i="1"/>
  <c r="P50" i="1"/>
  <c r="P51" i="1"/>
  <c r="P48" i="1"/>
  <c r="E43" i="1"/>
  <c r="F43" i="1"/>
  <c r="G43" i="1"/>
  <c r="H43" i="1"/>
  <c r="I43" i="1"/>
  <c r="J43" i="1"/>
  <c r="K43" i="1"/>
  <c r="L43" i="1"/>
  <c r="M43" i="1"/>
  <c r="N43" i="1"/>
  <c r="O43" i="1"/>
  <c r="D43" i="1"/>
  <c r="P38" i="1"/>
  <c r="P39" i="1"/>
  <c r="P40" i="1"/>
  <c r="P41" i="1"/>
  <c r="P42" i="1"/>
  <c r="P37" i="1"/>
  <c r="E32" i="1"/>
  <c r="F32" i="1"/>
  <c r="G32" i="1"/>
  <c r="H32" i="1"/>
  <c r="I32" i="1"/>
  <c r="J32" i="1"/>
  <c r="K32" i="1"/>
  <c r="L32" i="1"/>
  <c r="M32" i="1"/>
  <c r="N32" i="1"/>
  <c r="O32" i="1"/>
  <c r="D32" i="1"/>
  <c r="P27" i="1"/>
  <c r="P28" i="1"/>
  <c r="P29" i="1"/>
  <c r="P30" i="1"/>
  <c r="P31" i="1"/>
  <c r="P26" i="1"/>
  <c r="E21" i="1"/>
  <c r="F21" i="1"/>
  <c r="G21" i="1"/>
  <c r="H21" i="1"/>
  <c r="I21" i="1"/>
  <c r="J21" i="1"/>
  <c r="K21" i="1"/>
  <c r="L21" i="1"/>
  <c r="M21" i="1"/>
  <c r="N21" i="1"/>
  <c r="O21" i="1"/>
  <c r="D21" i="1"/>
  <c r="H130" i="1" l="1"/>
  <c r="P52" i="1"/>
  <c r="P116" i="1"/>
  <c r="P106" i="1"/>
  <c r="P96" i="1"/>
  <c r="P84" i="1"/>
  <c r="P75" i="1"/>
  <c r="P64" i="1"/>
  <c r="L130" i="1"/>
  <c r="P43" i="1"/>
  <c r="P32" i="1"/>
  <c r="P21" i="1"/>
  <c r="K130" i="1"/>
  <c r="J130" i="1"/>
  <c r="I130" i="1"/>
  <c r="D130" i="1"/>
  <c r="O130" i="1"/>
  <c r="N130" i="1"/>
  <c r="M130" i="1"/>
  <c r="E130" i="1"/>
  <c r="G130" i="1"/>
  <c r="F130" i="1"/>
  <c r="P126" i="1"/>
  <c r="O10" i="1"/>
  <c r="G10" i="1"/>
  <c r="L10" i="1"/>
  <c r="N10" i="1"/>
  <c r="F10" i="1"/>
  <c r="E10" i="1"/>
  <c r="I10" i="1"/>
  <c r="H10" i="1"/>
  <c r="D10" i="1"/>
  <c r="M10" i="1"/>
  <c r="K10" i="1"/>
  <c r="P9" i="1"/>
  <c r="P8" i="1"/>
  <c r="J10" i="1"/>
  <c r="P7" i="1"/>
  <c r="D131" i="1" l="1"/>
  <c r="L131" i="1"/>
  <c r="J131" i="1"/>
  <c r="I131" i="1"/>
  <c r="F131" i="1"/>
  <c r="N131" i="1"/>
  <c r="H131" i="1"/>
  <c r="P130" i="1"/>
  <c r="K131" i="1"/>
  <c r="M131" i="1"/>
  <c r="G131" i="1"/>
  <c r="O131" i="1"/>
  <c r="E131" i="1"/>
  <c r="P10" i="1"/>
  <c r="P131" i="1" l="1"/>
</calcChain>
</file>

<file path=xl/sharedStrings.xml><?xml version="1.0" encoding="utf-8"?>
<sst xmlns="http://schemas.openxmlformats.org/spreadsheetml/2006/main" count="313" uniqueCount="114">
  <si>
    <t>RICAVI</t>
  </si>
  <si>
    <t>ENTRATE</t>
  </si>
  <si>
    <t>Stipendi</t>
  </si>
  <si>
    <t>Interesse/dividendi</t>
  </si>
  <si>
    <t>Varie</t>
  </si>
  <si>
    <t>Totale</t>
  </si>
  <si>
    <t>SPESE</t>
  </si>
  <si>
    <t>CASA</t>
  </si>
  <si>
    <t>Casa</t>
  </si>
  <si>
    <t>Mutuo</t>
  </si>
  <si>
    <t>Assicurazione</t>
  </si>
  <si>
    <t>Riparazioni</t>
  </si>
  <si>
    <t>Servizi</t>
  </si>
  <si>
    <t>Utenze</t>
  </si>
  <si>
    <t>ATTIVITÀ QUOTIDIANE</t>
  </si>
  <si>
    <t>Attività quotidiane</t>
  </si>
  <si>
    <t xml:space="preserve">Generi alimentari </t>
  </si>
  <si>
    <t>Assistenza bambini</t>
  </si>
  <si>
    <t>Lavanderia</t>
  </si>
  <si>
    <t>Cene fuori</t>
  </si>
  <si>
    <t>Servizio pulizie</t>
  </si>
  <si>
    <t>Dog sitter</t>
  </si>
  <si>
    <t>TRASPORTI</t>
  </si>
  <si>
    <t>Trasporti</t>
  </si>
  <si>
    <t>Benzina/carburante</t>
  </si>
  <si>
    <t>Lavaggio auto/servizi annessi</t>
  </si>
  <si>
    <t>Parcheggio</t>
  </si>
  <si>
    <t>Trasporti pubblici</t>
  </si>
  <si>
    <t>SVAGO</t>
  </si>
  <si>
    <t>Svago</t>
  </si>
  <si>
    <t>Pay TV</t>
  </si>
  <si>
    <t>Noleggio video/DVD</t>
  </si>
  <si>
    <t>Cinema/teatro</t>
  </si>
  <si>
    <t>Concerti/discoteche</t>
  </si>
  <si>
    <t>SALUTE</t>
  </si>
  <si>
    <t>Salute</t>
  </si>
  <si>
    <t>Iscrizione palestra</t>
  </si>
  <si>
    <t>Ricette mediche</t>
  </si>
  <si>
    <t>Farmaci da banco</t>
  </si>
  <si>
    <t>Ticket sanitari</t>
  </si>
  <si>
    <t>Veterinario/medicine animali</t>
  </si>
  <si>
    <t>Assicurazione vita</t>
  </si>
  <si>
    <t>VACANZE</t>
  </si>
  <si>
    <t>Vacanze</t>
  </si>
  <si>
    <t>Biglietti aerei</t>
  </si>
  <si>
    <t>Alloggio</t>
  </si>
  <si>
    <t>Cibo</t>
  </si>
  <si>
    <t>Souvenir</t>
  </si>
  <si>
    <t>Pensione per animali</t>
  </si>
  <si>
    <t>Noleggio auto</t>
  </si>
  <si>
    <t>TEMPO LIBERO</t>
  </si>
  <si>
    <t>Tempo libero</t>
  </si>
  <si>
    <t>Quota palestra</t>
  </si>
  <si>
    <t>Attrezzature sportive</t>
  </si>
  <si>
    <t>Spese associative</t>
  </si>
  <si>
    <t>Giocattoli/attrezzature figlio</t>
  </si>
  <si>
    <t>QUOTE/ABBONAMENTI</t>
  </si>
  <si>
    <t>Quote/abbonamenti</t>
  </si>
  <si>
    <t>Riviste</t>
  </si>
  <si>
    <t>Giornali</t>
  </si>
  <si>
    <t>Connessione Internet</t>
  </si>
  <si>
    <t>Radio pubblica</t>
  </si>
  <si>
    <t>Televisione pubblica</t>
  </si>
  <si>
    <t>Organizzazioni religiose</t>
  </si>
  <si>
    <t>Beneficenza</t>
  </si>
  <si>
    <t>PERSONALI</t>
  </si>
  <si>
    <t>Personali</t>
  </si>
  <si>
    <t>Abbigliamento</t>
  </si>
  <si>
    <t>Regali</t>
  </si>
  <si>
    <t>Parrucchiere/barbiere</t>
  </si>
  <si>
    <t>Libri</t>
  </si>
  <si>
    <t>Musica (CD e così via)</t>
  </si>
  <si>
    <t>OBBLIGHI FINANZIARI</t>
  </si>
  <si>
    <t>Obblighi finanziari</t>
  </si>
  <si>
    <t>Risparmi a lungo termine</t>
  </si>
  <si>
    <t>Fondo pensione</t>
  </si>
  <si>
    <t>Pagamenti con carta di credito</t>
  </si>
  <si>
    <t>Imposte sul reddito (aggiuntive)</t>
  </si>
  <si>
    <t>Altri obblighi</t>
  </si>
  <si>
    <t>PAGAMENTI VARI</t>
  </si>
  <si>
    <t>Pagamenti vari</t>
  </si>
  <si>
    <t xml:space="preserve">   Altro</t>
  </si>
  <si>
    <t>TOTALI</t>
  </si>
  <si>
    <t>Totale uscite</t>
  </si>
  <si>
    <t>Ammanco/Surplus di cassa</t>
  </si>
  <si>
    <t>GEN</t>
  </si>
  <si>
    <t>Gen</t>
  </si>
  <si>
    <t>FEB</t>
  </si>
  <si>
    <t>Feb</t>
  </si>
  <si>
    <t>MAR</t>
  </si>
  <si>
    <t>Marzo</t>
  </si>
  <si>
    <t>APR</t>
  </si>
  <si>
    <t>Aprile</t>
  </si>
  <si>
    <t>MAG</t>
  </si>
  <si>
    <t>Maggio</t>
  </si>
  <si>
    <t>Mag</t>
  </si>
  <si>
    <t>GIU</t>
  </si>
  <si>
    <t>Giugno</t>
  </si>
  <si>
    <t>LUG</t>
  </si>
  <si>
    <t>Luglio</t>
  </si>
  <si>
    <t>AGO</t>
  </si>
  <si>
    <t>Ago</t>
  </si>
  <si>
    <t>SET</t>
  </si>
  <si>
    <t>Set</t>
  </si>
  <si>
    <t>OTT</t>
  </si>
  <si>
    <t>Ott</t>
  </si>
  <si>
    <t>NOV</t>
  </si>
  <si>
    <t>Nov</t>
  </si>
  <si>
    <t>DIC</t>
  </si>
  <si>
    <t>Dic</t>
  </si>
  <si>
    <t>ANNO</t>
  </si>
  <si>
    <t>Anno</t>
  </si>
  <si>
    <t xml:space="preserve"> </t>
  </si>
  <si>
    <t>Colonna1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</si>
</sst>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\ &quot;€&quot;_-;\-* #,##0\ &quot;€&quot;_-;_-* &quot;-&quot;\ &quot;€&quot;_-;_-@_-"/>
    <numFmt numFmtId="168" formatCode="&quot;€&quot;\ #,##0.00"/>
  </numFmts>
  <fonts count="29" x14ac:knownFonts="1">
    <font>
      <sz val="10"/>
      <color theme="1" tint="0.14993743705557422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24"/>
      <color theme="1" tint="0.14993743705557422"/>
      <name val="Gill Sans MT"/>
      <family val="1"/>
      <scheme val="major"/>
    </font>
    <font>
      <sz val="10"/>
      <color theme="4" tint="-0.499984740745262"/>
      <name val="verdana"/>
      <family val="2"/>
      <scheme val="minor"/>
    </font>
    <font>
      <sz val="10"/>
      <color theme="5" tint="-0.499984740745262"/>
      <name val="verdana"/>
      <family val="2"/>
      <scheme val="minor"/>
    </font>
    <font>
      <sz val="11"/>
      <color theme="1" tint="0.34998626667073579"/>
      <name val="Gill Sans MT"/>
      <family val="2"/>
      <scheme val="major"/>
    </font>
    <font>
      <b/>
      <sz val="10"/>
      <color theme="4"/>
      <name val="Gill Sans MT"/>
      <family val="2"/>
      <scheme val="major"/>
    </font>
    <font>
      <sz val="10"/>
      <color theme="0"/>
      <name val="verdana"/>
      <family val="2"/>
      <scheme val="minor"/>
    </font>
    <font>
      <b/>
      <sz val="10"/>
      <color theme="5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b/>
      <sz val="10"/>
      <color theme="4"/>
      <name val="verdana"/>
      <family val="2"/>
      <scheme val="minor"/>
    </font>
    <font>
      <b/>
      <sz val="10"/>
      <color theme="5"/>
      <name val="verdana"/>
      <family val="2"/>
      <scheme val="minor"/>
    </font>
    <font>
      <sz val="10"/>
      <color theme="1" tint="0.14993743705557422"/>
      <name val="verdana"/>
      <family val="2"/>
      <scheme val="minor"/>
    </font>
    <font>
      <sz val="18"/>
      <color theme="3"/>
      <name val="Gill Sans MT"/>
      <family val="2"/>
      <scheme val="maj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</fonts>
  <fills count="4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F5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5"/>
      </left>
      <right/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 style="medium">
        <color theme="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15" borderId="0">
      <alignment vertical="center"/>
    </xf>
    <xf numFmtId="0" fontId="4" fillId="0" borderId="0" applyNumberFormat="0" applyFill="0" applyProtection="0">
      <alignment vertical="center"/>
    </xf>
    <xf numFmtId="0" fontId="3" fillId="0" borderId="1" applyNumberFormat="0" applyFill="0" applyProtection="0">
      <alignment vertical="center"/>
    </xf>
    <xf numFmtId="0" fontId="2" fillId="7" borderId="0" applyNumberFormat="0" applyProtection="0">
      <alignment horizontal="left" vertical="center" indent="1"/>
    </xf>
    <xf numFmtId="0" fontId="2" fillId="2" borderId="0" applyNumberFormat="0" applyProtection="0">
      <alignment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12" applyNumberFormat="0" applyAlignment="0" applyProtection="0"/>
    <xf numFmtId="0" fontId="21" fillId="20" borderId="13" applyNumberFormat="0" applyAlignment="0" applyProtection="0"/>
    <xf numFmtId="0" fontId="22" fillId="20" borderId="12" applyNumberFormat="0" applyAlignment="0" applyProtection="0"/>
    <xf numFmtId="0" fontId="23" fillId="0" borderId="14" applyNumberFormat="0" applyFill="0" applyAlignment="0" applyProtection="0"/>
    <xf numFmtId="0" fontId="24" fillId="21" borderId="15" applyNumberFormat="0" applyAlignment="0" applyProtection="0"/>
    <xf numFmtId="0" fontId="25" fillId="0" borderId="0" applyNumberFormat="0" applyFill="0" applyBorder="0" applyAlignment="0" applyProtection="0"/>
    <xf numFmtId="0" fontId="15" fillId="22" borderId="16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</cellStyleXfs>
  <cellXfs count="79">
    <xf numFmtId="0" fontId="0" fillId="15" borderId="0" xfId="0">
      <alignment vertical="center"/>
    </xf>
    <xf numFmtId="0" fontId="0" fillId="15" borderId="0" xfId="0" applyAlignment="1">
      <alignment horizontal="right" vertical="center"/>
    </xf>
    <xf numFmtId="0" fontId="0" fillId="15" borderId="0" xfId="0" applyAlignment="1"/>
    <xf numFmtId="0" fontId="0" fillId="15" borderId="0" xfId="0" applyBorder="1" applyAlignment="1">
      <alignment horizontal="right" vertical="center"/>
    </xf>
    <xf numFmtId="0" fontId="0" fillId="15" borderId="3" xfId="0" applyBorder="1" applyAlignment="1">
      <alignment horizontal="right" vertical="center"/>
    </xf>
    <xf numFmtId="0" fontId="0" fillId="15" borderId="3" xfId="0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0" fillId="6" borderId="0" xfId="0" applyFill="1">
      <alignment vertical="center"/>
    </xf>
    <xf numFmtId="0" fontId="8" fillId="0" borderId="0" xfId="2" applyFont="1" applyFill="1" applyBorder="1" applyAlignment="1">
      <alignment horizontal="left" vertical="center" indent="1"/>
    </xf>
    <xf numFmtId="0" fontId="8" fillId="0" borderId="0" xfId="2" applyFont="1" applyFill="1" applyBorder="1" applyAlignment="1">
      <alignment horizontal="right" vertical="center"/>
    </xf>
    <xf numFmtId="0" fontId="2" fillId="0" borderId="0" xfId="3" applyFill="1" applyBorder="1" applyAlignment="1">
      <alignment horizontal="right" vertical="center"/>
    </xf>
    <xf numFmtId="0" fontId="0" fillId="15" borderId="0" xfId="0">
      <alignment vertical="center"/>
    </xf>
    <xf numFmtId="0" fontId="9" fillId="0" borderId="0" xfId="3" applyFont="1" applyFill="1" applyBorder="1" applyAlignment="1">
      <alignment horizontal="left" vertical="center" indent="1"/>
    </xf>
    <xf numFmtId="0" fontId="0" fillId="8" borderId="0" xfId="0" applyFill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8" borderId="0" xfId="0" applyFont="1" applyFill="1" applyBorder="1" applyAlignment="1">
      <alignment horizontal="right" vertical="center"/>
    </xf>
    <xf numFmtId="0" fontId="11" fillId="0" borderId="0" xfId="3" applyFont="1" applyFill="1" applyBorder="1">
      <alignment horizontal="left" vertical="center" indent="1"/>
    </xf>
    <xf numFmtId="0" fontId="7" fillId="8" borderId="0" xfId="0" applyFont="1" applyFill="1" applyBorder="1" applyAlignment="1">
      <alignment horizontal="right" vertical="center"/>
    </xf>
    <xf numFmtId="0" fontId="7" fillId="8" borderId="6" xfId="0" applyFont="1" applyFill="1" applyBorder="1" applyAlignment="1">
      <alignment horizontal="left" vertical="center" indent="1"/>
    </xf>
    <xf numFmtId="0" fontId="2" fillId="0" borderId="4" xfId="3" applyFill="1" applyBorder="1" applyAlignment="1">
      <alignment horizontal="right" vertical="center"/>
    </xf>
    <xf numFmtId="0" fontId="2" fillId="0" borderId="5" xfId="3" applyFill="1" applyBorder="1" applyAlignment="1">
      <alignment horizontal="right" vertical="center"/>
    </xf>
    <xf numFmtId="0" fontId="0" fillId="15" borderId="0" xfId="0" applyBorder="1">
      <alignment vertical="center"/>
    </xf>
    <xf numFmtId="0" fontId="9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 vertical="center"/>
    </xf>
    <xf numFmtId="0" fontId="0" fillId="8" borderId="0" xfId="0" applyFill="1" applyAlignment="1">
      <alignment horizontal="left" vertical="center" indent="1"/>
    </xf>
    <xf numFmtId="0" fontId="0" fillId="13" borderId="0" xfId="0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12" fillId="11" borderId="0" xfId="3" applyFont="1" applyFill="1">
      <alignment horizontal="left" vertical="center" indent="1"/>
    </xf>
    <xf numFmtId="0" fontId="12" fillId="11" borderId="0" xfId="3" applyFont="1" applyFill="1" applyAlignment="1">
      <alignment horizontal="right" vertical="center"/>
    </xf>
    <xf numFmtId="0" fontId="10" fillId="11" borderId="0" xfId="0" applyFont="1" applyFill="1" applyAlignment="1">
      <alignment horizontal="left" vertical="center" indent="1"/>
    </xf>
    <xf numFmtId="0" fontId="10" fillId="11" borderId="0" xfId="0" applyFont="1" applyFill="1" applyAlignment="1">
      <alignment vertical="center"/>
    </xf>
    <xf numFmtId="0" fontId="12" fillId="12" borderId="0" xfId="3" applyFont="1" applyFill="1" applyAlignment="1">
      <alignment horizontal="right" vertical="center"/>
    </xf>
    <xf numFmtId="0" fontId="10" fillId="12" borderId="0" xfId="0" applyFont="1" applyFill="1" applyAlignment="1">
      <alignment vertical="center"/>
    </xf>
    <xf numFmtId="0" fontId="0" fillId="15" borderId="7" xfId="0" applyBorder="1">
      <alignment vertical="center"/>
    </xf>
    <xf numFmtId="0" fontId="0" fillId="15" borderId="8" xfId="0" applyBorder="1">
      <alignment vertical="center"/>
    </xf>
    <xf numFmtId="0" fontId="9" fillId="13" borderId="0" xfId="0" applyFont="1" applyFill="1" applyAlignment="1">
      <alignment horizontal="left" vertical="center" indent="1"/>
    </xf>
    <xf numFmtId="0" fontId="6" fillId="8" borderId="11" xfId="0" applyFont="1" applyFill="1" applyBorder="1" applyAlignment="1">
      <alignment horizontal="left" vertical="center" indent="1"/>
    </xf>
    <xf numFmtId="0" fontId="0" fillId="8" borderId="9" xfId="0" applyFill="1" applyBorder="1" applyAlignment="1">
      <alignment horizontal="left" vertical="center" indent="1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15" borderId="3" xfId="1" applyFont="1" applyFill="1" applyBorder="1" applyAlignment="1"/>
    <xf numFmtId="0" fontId="0" fillId="15" borderId="0" xfId="0" applyFill="1" applyAlignment="1"/>
    <xf numFmtId="0" fontId="0" fillId="15" borderId="0" xfId="0" applyFill="1">
      <alignment vertical="center"/>
    </xf>
    <xf numFmtId="0" fontId="0" fillId="15" borderId="0" xfId="0" applyFill="1" applyAlignment="1">
      <alignment horizontal="right" vertical="center"/>
    </xf>
    <xf numFmtId="0" fontId="0" fillId="15" borderId="0" xfId="0" applyFill="1" applyBorder="1" applyAlignment="1">
      <alignment horizontal="right" vertical="center"/>
    </xf>
    <xf numFmtId="0" fontId="0" fillId="15" borderId="2" xfId="0" applyFill="1" applyBorder="1" applyAlignment="1">
      <alignment horizontal="right" vertical="center"/>
    </xf>
    <xf numFmtId="0" fontId="0" fillId="8" borderId="10" xfId="0" applyFill="1" applyBorder="1" applyAlignment="1">
      <alignment horizontal="left" vertical="center" indent="1"/>
    </xf>
    <xf numFmtId="168" fontId="6" fillId="0" borderId="0" xfId="0" applyNumberFormat="1" applyFont="1" applyFill="1" applyBorder="1" applyAlignment="1">
      <alignment horizontal="right" vertical="center"/>
    </xf>
    <xf numFmtId="168" fontId="6" fillId="8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>
      <alignment horizontal="right" vertical="center"/>
    </xf>
    <xf numFmtId="168" fontId="7" fillId="8" borderId="0" xfId="0" applyNumberFormat="1" applyFont="1" applyFill="1" applyBorder="1" applyAlignment="1">
      <alignment horizontal="right" vertical="center"/>
    </xf>
    <xf numFmtId="168" fontId="0" fillId="3" borderId="0" xfId="0" applyNumberFormat="1" applyFill="1" applyAlignment="1">
      <alignment horizontal="right" vertical="center"/>
    </xf>
    <xf numFmtId="168" fontId="0" fillId="13" borderId="0" xfId="0" applyNumberFormat="1" applyFill="1" applyAlignment="1">
      <alignment horizontal="right" vertical="center"/>
    </xf>
    <xf numFmtId="168" fontId="0" fillId="8" borderId="0" xfId="0" applyNumberFormat="1" applyFill="1" applyAlignment="1">
      <alignment horizontal="right" vertical="center"/>
    </xf>
    <xf numFmtId="168" fontId="0" fillId="9" borderId="0" xfId="0" applyNumberFormat="1" applyFill="1" applyAlignment="1">
      <alignment horizontal="right" vertical="center"/>
    </xf>
    <xf numFmtId="168" fontId="0" fillId="0" borderId="0" xfId="0" applyNumberFormat="1" applyFill="1" applyAlignment="1">
      <alignment horizontal="right" vertical="center"/>
    </xf>
    <xf numFmtId="168" fontId="0" fillId="10" borderId="0" xfId="0" applyNumberFormat="1" applyFill="1" applyAlignment="1">
      <alignment horizontal="right" vertical="center"/>
    </xf>
    <xf numFmtId="168" fontId="0" fillId="14" borderId="0" xfId="0" applyNumberFormat="1" applyFill="1" applyAlignment="1">
      <alignment horizontal="right" vertical="center"/>
    </xf>
    <xf numFmtId="168" fontId="10" fillId="12" borderId="0" xfId="0" applyNumberFormat="1" applyFont="1" applyFill="1" applyAlignment="1">
      <alignment horizontal="right" vertical="center"/>
    </xf>
    <xf numFmtId="168" fontId="10" fillId="11" borderId="0" xfId="0" applyNumberFormat="1" applyFont="1" applyFill="1" applyAlignment="1">
      <alignment horizontal="right" vertical="center"/>
    </xf>
    <xf numFmtId="0" fontId="0" fillId="15" borderId="0" xfId="0">
      <alignment vertical="center"/>
    </xf>
    <xf numFmtId="0" fontId="0" fillId="13" borderId="0" xfId="0" applyFill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5" fillId="15" borderId="0" xfId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5" borderId="0" xfId="0" applyBorder="1">
      <alignment vertical="center"/>
    </xf>
    <xf numFmtId="0" fontId="0" fillId="15" borderId="0" xfId="0">
      <alignment vertical="center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5" builtinId="3" customBuiltin="1"/>
    <cellStyle name="Migliaia [0]" xfId="6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9" builtinId="5" customBuiltin="1"/>
    <cellStyle name="Testo avviso" xfId="19" builtinId="11" customBuiltin="1"/>
    <cellStyle name="Testo descrittivo" xfId="21" builtinId="53" customBuiltin="1"/>
    <cellStyle name="Titolo" xfId="10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hidden="1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7" builtinId="4" customBuiltin="1"/>
    <cellStyle name="Valuta [0]" xfId="8" builtinId="7" customBuiltin="1"/>
  </cellStyles>
  <dxfs count="421"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9" formatCode="&quot;$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family val="2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Gill Sans MT"/>
        <family val="2"/>
        <scheme val="major"/>
      </font>
      <fill>
        <patternFill patternType="solid">
          <fgColor indexed="64"/>
          <bgColor theme="1"/>
        </patternFill>
      </fill>
    </dxf>
    <dxf>
      <numFmt numFmtId="169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9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9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9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9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59999389629810485"/>
        </patternFill>
      </fill>
    </dxf>
    <dxf>
      <numFmt numFmtId="168" formatCode="&quot;€&quot;\ 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thick">
          <color theme="5"/>
        </left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5" tint="0.59999389629810485"/>
        </patternFill>
      </fill>
    </dxf>
    <dxf>
      <numFmt numFmtId="168" formatCode="&quot;€&quot;\ 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thick">
          <color theme="5"/>
        </left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numFmt numFmtId="168" formatCode="&quot;€&quot;\ #,##0.00"/>
    </dxf>
    <dxf>
      <numFmt numFmtId="168" formatCode="&quot;€&quot;\ 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theme="5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8" formatCode="&quot;€&quot;\ #,##0.00"/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theme="4"/>
        </left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PivotStyle="PivotStyleLight16">
    <tableStyle name="Budget personale - Ricavi" pivot="0" count="9" xr9:uid="{00000000-0011-0000-FFFF-FFFF00000000}">
      <tableStyleElement type="wholeTable" dxfId="420"/>
      <tableStyleElement type="headerRow" dxfId="419"/>
      <tableStyleElement type="totalRow" dxfId="418"/>
      <tableStyleElement type="firstColumn" dxfId="417"/>
      <tableStyleElement type="lastColumn" dxfId="416"/>
      <tableStyleElement type="firstRowStripe" dxfId="415"/>
      <tableStyleElement type="firstColumnStripe" dxfId="414"/>
      <tableStyleElement type="firstTotalCell" dxfId="413"/>
      <tableStyleElement type="lastTotalCell" dxfId="412"/>
    </tableStyle>
    <tableStyle name="Budget personale - Spese" pivot="0" count="9" xr9:uid="{00000000-0011-0000-FFFF-FFFF01000000}">
      <tableStyleElement type="wholeTable" dxfId="411"/>
      <tableStyleElement type="headerRow" dxfId="410"/>
      <tableStyleElement type="totalRow" dxfId="409"/>
      <tableStyleElement type="firstColumn" dxfId="408"/>
      <tableStyleElement type="lastColumn" dxfId="407"/>
      <tableStyleElement type="firstRowStripe" dxfId="406"/>
      <tableStyleElement type="firstColumnStripe" dxfId="405"/>
      <tableStyleElement type="firstTotalCell" dxfId="404"/>
      <tableStyleElement type="lastTotalCell" dxfId="403"/>
    </tableStyle>
    <tableStyle name="Budget personale - Totale" pivot="0" count="9" xr9:uid="{00000000-0011-0000-FFFF-FFFF02000000}">
      <tableStyleElement type="wholeTable" dxfId="402"/>
      <tableStyleElement type="headerRow" dxfId="401"/>
      <tableStyleElement type="totalRow" dxfId="400"/>
      <tableStyleElement type="firstColumn" dxfId="399"/>
      <tableStyleElement type="lastColumn" dxfId="398"/>
      <tableStyleElement type="firstRowStripe" dxfId="397"/>
      <tableStyleElement type="firstColumnStripe" dxfId="396"/>
      <tableStyleElement type="firstTotalCell" dxfId="395"/>
      <tableStyleElement type="lastTotalCell" dxfId="394"/>
    </tableStyle>
  </tableStyles>
  <colors>
    <mruColors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342897</xdr:colOff>
      <xdr:row>1</xdr:row>
      <xdr:rowOff>95251</xdr:rowOff>
    </xdr:from>
    <xdr:to>
      <xdr:col>4</xdr:col>
      <xdr:colOff>416718</xdr:colOff>
      <xdr:row>2</xdr:row>
      <xdr:rowOff>66676</xdr:rowOff>
    </xdr:to>
    <xdr:sp macro="" textlink="">
      <xdr:nvSpPr>
        <xdr:cNvPr id="2" name="Casella di testo 1">
          <a:extLst>
            <a:ext uri="{FF2B5EF4-FFF2-40B4-BE49-F238E27FC236}">
              <a16:creationId xmlns:a16="http://schemas.microsoft.com/office/drawing/2014/main" id="{A99E65D3-5F02-44CF-9457-DA345CF98CF4}"/>
            </a:ext>
          </a:extLst>
        </xdr:cNvPr>
        <xdr:cNvSpPr txBox="1"/>
      </xdr:nvSpPr>
      <xdr:spPr>
        <a:xfrm>
          <a:off x="342897" y="254001"/>
          <a:ext cx="3873899" cy="417909"/>
        </a:xfrm>
        <a:prstGeom prst="rect">
          <a:avLst/>
        </a:prstGeom>
        <a:solidFill>
          <a:srgbClr val="F7F7F7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" sz="2500" b="1">
              <a:solidFill>
                <a:schemeClr val="tx1"/>
              </a:solidFill>
              <a:latin typeface="Gill Sans MT" panose="020B0502020104020203" pitchFamily="34" charset="0"/>
            </a:rPr>
            <a:t>BUDGET PERSONALE</a:t>
          </a:r>
        </a:p>
      </xdr:txBody>
    </xdr:sp>
    <xdr:clientData/>
  </xdr:twoCellAnchor>
  <xdr:twoCellAnchor editAs="absolute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5140781" y="346891"/>
          <a:ext cx="932656" cy="26786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" sz="1200" b="1">
              <a:latin typeface="verdana" panose="020B0604030504040204" pitchFamily="34" charset="0"/>
            </a:rPr>
            <a:t>2018</a:t>
          </a:r>
        </a:p>
      </xdr:txBody>
    </xdr:sp>
    <xdr:clientData/>
  </xdr:twoCellAnchor>
</xdr:wsDr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ntrate" displayName="tabEntrate" ref="C6:Q10" totalsRowCount="1" headerRowDxfId="392" dataDxfId="391" totalsRowDxfId="390">
  <autoFilter ref="C6:Q9" xr:uid="{00000000-0009-0000-0100-000001000000}"/>
  <tableColumns count="15">
    <tableColumn id="1" xr3:uid="{00000000-0010-0000-0000-000001000000}" name="ENTRATE" totalsRowLabel="Totale" totalsRowDxfId="389"/>
    <tableColumn id="2" xr3:uid="{00000000-0010-0000-0000-000002000000}" name="Gen" totalsRowFunction="sum" dataDxfId="388" totalsRowDxfId="387"/>
    <tableColumn id="3" xr3:uid="{00000000-0010-0000-0000-000003000000}" name="Feb" totalsRowFunction="sum" dataDxfId="386" totalsRowDxfId="385"/>
    <tableColumn id="4" xr3:uid="{00000000-0010-0000-0000-000004000000}" name="Marzo" totalsRowFunction="sum" dataDxfId="384" totalsRowDxfId="383"/>
    <tableColumn id="5" xr3:uid="{00000000-0010-0000-0000-000005000000}" name="Aprile" totalsRowFunction="sum" dataDxfId="382" totalsRowDxfId="381"/>
    <tableColumn id="6" xr3:uid="{00000000-0010-0000-0000-000006000000}" name="Maggio" totalsRowFunction="sum" dataDxfId="380" totalsRowDxfId="379"/>
    <tableColumn id="7" xr3:uid="{00000000-0010-0000-0000-000007000000}" name="Giugno" totalsRowFunction="sum" dataDxfId="378" totalsRowDxfId="377"/>
    <tableColumn id="8" xr3:uid="{00000000-0010-0000-0000-000008000000}" name="Luglio" totalsRowFunction="sum" dataDxfId="376" totalsRowDxfId="375"/>
    <tableColumn id="9" xr3:uid="{00000000-0010-0000-0000-000009000000}" name="Ago" totalsRowFunction="sum" dataDxfId="374" totalsRowDxfId="373"/>
    <tableColumn id="10" xr3:uid="{00000000-0010-0000-0000-00000A000000}" name="Set" totalsRowFunction="sum" dataDxfId="372" totalsRowDxfId="371"/>
    <tableColumn id="11" xr3:uid="{00000000-0010-0000-0000-00000B000000}" name="Ott" totalsRowFunction="sum" dataDxfId="370" totalsRowDxfId="369"/>
    <tableColumn id="12" xr3:uid="{00000000-0010-0000-0000-00000C000000}" name="Nov" totalsRowFunction="sum" dataDxfId="368" totalsRowDxfId="367"/>
    <tableColumn id="13" xr3:uid="{00000000-0010-0000-0000-00000D000000}" name="Dic" totalsRowFunction="sum" dataDxfId="366" totalsRowDxfId="365"/>
    <tableColumn id="14" xr3:uid="{00000000-0010-0000-0000-00000E000000}" name="Anno" totalsRowFunction="sum" dataDxfId="364" totalsRowDxfId="363">
      <calculatedColumnFormula>SUM(tabEntrate[[#This Row],[Gen]:[Dic]])</calculatedColumnFormula>
    </tableColumn>
    <tableColumn id="15" xr3:uid="{00000000-0010-0000-0000-00000F000000}" name="Colonna1" dataDxfId="362" totalsRowDxfId="361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Income" altTextSummary="Immettere le entrate per l'anno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Quotidiane" displayName="tblQuotidiane" ref="C25:Q32" totalsRowCount="1" headerRowDxfId="329" dataDxfId="328" totalsRowDxfId="327">
  <autoFilter ref="C25:Q31" xr:uid="{00000000-0009-0000-0100-000003000000}"/>
  <tableColumns count="15">
    <tableColumn id="1" xr3:uid="{00000000-0010-0000-0200-000001000000}" name="Attività quotidiane" totalsRowLabel="Totale" totalsRowDxfId="326"/>
    <tableColumn id="2" xr3:uid="{00000000-0010-0000-0200-000002000000}" name="Gen" totalsRowFunction="sum" dataDxfId="325" totalsRowDxfId="324"/>
    <tableColumn id="3" xr3:uid="{00000000-0010-0000-0200-000003000000}" name="Feb" totalsRowFunction="sum" totalsRowDxfId="323"/>
    <tableColumn id="4" xr3:uid="{00000000-0010-0000-0200-000004000000}" name="Marzo" totalsRowFunction="sum" dataDxfId="322" totalsRowDxfId="321"/>
    <tableColumn id="5" xr3:uid="{00000000-0010-0000-0200-000005000000}" name="Aprile" totalsRowFunction="sum" totalsRowDxfId="320"/>
    <tableColumn id="6" xr3:uid="{00000000-0010-0000-0200-000006000000}" name="Mag" totalsRowFunction="sum" dataDxfId="319" totalsRowDxfId="318"/>
    <tableColumn id="7" xr3:uid="{00000000-0010-0000-0200-000007000000}" name="Giugno" totalsRowFunction="sum" totalsRowDxfId="317"/>
    <tableColumn id="8" xr3:uid="{00000000-0010-0000-0200-000008000000}" name="Luglio" totalsRowFunction="sum" dataDxfId="316" totalsRowDxfId="315"/>
    <tableColumn id="9" xr3:uid="{00000000-0010-0000-0200-000009000000}" name="Ago" totalsRowFunction="sum" totalsRowDxfId="314"/>
    <tableColumn id="10" xr3:uid="{00000000-0010-0000-0200-00000A000000}" name="Set" totalsRowFunction="sum" dataDxfId="313" totalsRowDxfId="312"/>
    <tableColumn id="11" xr3:uid="{00000000-0010-0000-0200-00000B000000}" name="Ott" totalsRowFunction="sum" totalsRowDxfId="311"/>
    <tableColumn id="12" xr3:uid="{00000000-0010-0000-0200-00000C000000}" name="Nov" totalsRowFunction="sum" dataDxfId="310" totalsRowDxfId="309"/>
    <tableColumn id="13" xr3:uid="{00000000-0010-0000-0200-00000D000000}" name="Dic" totalsRowFunction="sum" totalsRowDxfId="308"/>
    <tableColumn id="14" xr3:uid="{00000000-0010-0000-0200-00000E000000}" name="Anno" totalsRowFunction="sum" dataDxfId="307" totalsRowDxfId="306">
      <calculatedColumnFormula>SUM(tblQuotidiane[[#This Row],[Gen]:[Dic]])</calculatedColumnFormula>
    </tableColumn>
    <tableColumn id="15" xr3:uid="{00000000-0010-0000-0200-00000F000000}" name="Colonna1" totalsRowDxfId="305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Daily Living Expenses" altTextSummary="Immettere le spese per attività quotidiane per l'anno, separate per mese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Transporti" displayName="tblTransporti" ref="C36:Q43" totalsRowCount="1" headerRowDxfId="304" dataDxfId="303" totalsRowDxfId="302">
  <autoFilter ref="C36:Q42" xr:uid="{00000000-0009-0000-0100-000004000000}"/>
  <tableColumns count="15">
    <tableColumn id="1" xr3:uid="{00000000-0010-0000-0300-000001000000}" name="Trasporti" totalsRowLabel="Totale" totalsRowDxfId="301"/>
    <tableColumn id="2" xr3:uid="{00000000-0010-0000-0300-000002000000}" name="Gen" totalsRowFunction="sum" dataDxfId="300" totalsRowDxfId="299"/>
    <tableColumn id="3" xr3:uid="{00000000-0010-0000-0300-000003000000}" name="Feb" totalsRowFunction="sum" dataDxfId="298" totalsRowDxfId="297"/>
    <tableColumn id="4" xr3:uid="{00000000-0010-0000-0300-000004000000}" name="Marzo" totalsRowFunction="sum" dataDxfId="296" totalsRowDxfId="295"/>
    <tableColumn id="5" xr3:uid="{00000000-0010-0000-0300-000005000000}" name="Aprile" totalsRowFunction="sum" dataDxfId="294" totalsRowDxfId="293"/>
    <tableColumn id="6" xr3:uid="{00000000-0010-0000-0300-000006000000}" name="Mag" totalsRowFunction="sum" dataDxfId="292" totalsRowDxfId="291"/>
    <tableColumn id="7" xr3:uid="{00000000-0010-0000-0300-000007000000}" name="Giugno" totalsRowFunction="sum" dataDxfId="290" totalsRowDxfId="289"/>
    <tableColumn id="8" xr3:uid="{00000000-0010-0000-0300-000008000000}" name="Luglio" totalsRowFunction="sum" dataDxfId="288" totalsRowDxfId="287"/>
    <tableColumn id="9" xr3:uid="{00000000-0010-0000-0300-000009000000}" name="Ago" totalsRowFunction="sum" dataDxfId="286" totalsRowDxfId="285"/>
    <tableColumn id="10" xr3:uid="{00000000-0010-0000-0300-00000A000000}" name="Set" totalsRowFunction="sum" dataDxfId="284" totalsRowDxfId="283"/>
    <tableColumn id="11" xr3:uid="{00000000-0010-0000-0300-00000B000000}" name="Ott" totalsRowFunction="sum" dataDxfId="282" totalsRowDxfId="281"/>
    <tableColumn id="12" xr3:uid="{00000000-0010-0000-0300-00000C000000}" name="Nov" totalsRowFunction="sum" dataDxfId="280" totalsRowDxfId="279"/>
    <tableColumn id="13" xr3:uid="{00000000-0010-0000-0300-00000D000000}" name="Dic" totalsRowFunction="sum" dataDxfId="278" totalsRowDxfId="277"/>
    <tableColumn id="14" xr3:uid="{00000000-0010-0000-0300-00000E000000}" name="Anno" totalsRowFunction="sum" dataDxfId="276" totalsRowDxfId="275">
      <calculatedColumnFormula>SUM(tblTransporti[[#This Row],[Gen]:[Dic]])</calculatedColumnFormula>
    </tableColumn>
    <tableColumn id="15" xr3:uid="{00000000-0010-0000-0300-00000F000000}" name="Colonna1" totalsRowDxfId="274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Transportation expenses" altTextSummary="Immettere le spese di trasporto per l'anno, separate per mese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Svago" displayName="tblSvago" ref="C47:Q52" totalsRowCount="1" headerRowDxfId="273" dataDxfId="272" totalsRowDxfId="271">
  <autoFilter ref="C47:Q51" xr:uid="{00000000-0009-0000-0100-000005000000}"/>
  <tableColumns count="15">
    <tableColumn id="1" xr3:uid="{00000000-0010-0000-0400-000001000000}" name="Svago" totalsRowLabel="Totale" totalsRowDxfId="270"/>
    <tableColumn id="2" xr3:uid="{00000000-0010-0000-0400-000002000000}" name="Gen" totalsRowFunction="sum" dataDxfId="269" totalsRowDxfId="268"/>
    <tableColumn id="3" xr3:uid="{00000000-0010-0000-0400-000003000000}" name="Feb" totalsRowFunction="sum" dataDxfId="267" totalsRowDxfId="266"/>
    <tableColumn id="4" xr3:uid="{00000000-0010-0000-0400-000004000000}" name="Marzo" totalsRowFunction="sum" dataDxfId="265" totalsRowDxfId="264"/>
    <tableColumn id="5" xr3:uid="{00000000-0010-0000-0400-000005000000}" name="Aprile" totalsRowFunction="sum" dataDxfId="263" totalsRowDxfId="262"/>
    <tableColumn id="6" xr3:uid="{00000000-0010-0000-0400-000006000000}" name="Mag" totalsRowFunction="sum" dataDxfId="261" totalsRowDxfId="260"/>
    <tableColumn id="7" xr3:uid="{00000000-0010-0000-0400-000007000000}" name="Giugno" totalsRowFunction="sum" dataDxfId="259" totalsRowDxfId="258"/>
    <tableColumn id="8" xr3:uid="{00000000-0010-0000-0400-000008000000}" name="Luglio" totalsRowFunction="sum" dataDxfId="257" totalsRowDxfId="256"/>
    <tableColumn id="9" xr3:uid="{00000000-0010-0000-0400-000009000000}" name="Ago" totalsRowFunction="sum" dataDxfId="255" totalsRowDxfId="254"/>
    <tableColumn id="10" xr3:uid="{00000000-0010-0000-0400-00000A000000}" name="Set" totalsRowFunction="sum" dataDxfId="253" totalsRowDxfId="252"/>
    <tableColumn id="11" xr3:uid="{00000000-0010-0000-0400-00000B000000}" name="Ott" totalsRowFunction="sum" dataDxfId="251" totalsRowDxfId="250"/>
    <tableColumn id="12" xr3:uid="{00000000-0010-0000-0400-00000C000000}" name="Nov" totalsRowFunction="sum" dataDxfId="249" totalsRowDxfId="248"/>
    <tableColumn id="13" xr3:uid="{00000000-0010-0000-0400-00000D000000}" name="Dic" totalsRowFunction="sum" dataDxfId="247" totalsRowDxfId="246"/>
    <tableColumn id="14" xr3:uid="{00000000-0010-0000-0400-00000E000000}" name="Anno" totalsRowFunction="sum" dataDxfId="245" totalsRowDxfId="244">
      <calculatedColumnFormula>SUM(tblSvago[[#This Row],[Gen]:[Dic]])</calculatedColumnFormula>
    </tableColumn>
    <tableColumn id="15" xr3:uid="{00000000-0010-0000-0400-00000F000000}" name="Colonna1" totalsRowDxfId="243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Entertainment Expenses" altTextSummary="Immettere le spese per lo svago per l'anno, separate per mese.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Salute" displayName="tblSalute" ref="C56:Q64" totalsRowCount="1" headerRowDxfId="242" dataDxfId="241" totalsRowDxfId="240">
  <autoFilter ref="C56:Q63" xr:uid="{00000000-0009-0000-0100-000006000000}"/>
  <tableColumns count="15">
    <tableColumn id="1" xr3:uid="{00000000-0010-0000-0500-000001000000}" name="Salute" totalsRowLabel="Totale" totalsRowDxfId="239"/>
    <tableColumn id="2" xr3:uid="{00000000-0010-0000-0500-000002000000}" name="Gen" totalsRowFunction="sum" dataDxfId="238" totalsRowDxfId="237"/>
    <tableColumn id="3" xr3:uid="{00000000-0010-0000-0500-000003000000}" name="Feb" totalsRowFunction="sum" dataDxfId="236" totalsRowDxfId="235"/>
    <tableColumn id="4" xr3:uid="{00000000-0010-0000-0500-000004000000}" name="Marzo" totalsRowFunction="sum" dataDxfId="234" totalsRowDxfId="233"/>
    <tableColumn id="5" xr3:uid="{00000000-0010-0000-0500-000005000000}" name="Aprile" totalsRowFunction="sum" dataDxfId="232" totalsRowDxfId="231"/>
    <tableColumn id="6" xr3:uid="{00000000-0010-0000-0500-000006000000}" name="Mag" totalsRowFunction="sum" dataDxfId="230" totalsRowDxfId="229"/>
    <tableColumn id="7" xr3:uid="{00000000-0010-0000-0500-000007000000}" name="Giugno" totalsRowFunction="sum" dataDxfId="228" totalsRowDxfId="227"/>
    <tableColumn id="8" xr3:uid="{00000000-0010-0000-0500-000008000000}" name="Luglio" totalsRowFunction="sum" dataDxfId="226" totalsRowDxfId="225"/>
    <tableColumn id="9" xr3:uid="{00000000-0010-0000-0500-000009000000}" name="Ago" totalsRowFunction="sum" dataDxfId="224" totalsRowDxfId="223"/>
    <tableColumn id="10" xr3:uid="{00000000-0010-0000-0500-00000A000000}" name="Set" totalsRowFunction="sum" dataDxfId="222" totalsRowDxfId="221"/>
    <tableColumn id="11" xr3:uid="{00000000-0010-0000-0500-00000B000000}" name="Ott" totalsRowFunction="sum" dataDxfId="220" totalsRowDxfId="219"/>
    <tableColumn id="12" xr3:uid="{00000000-0010-0000-0500-00000C000000}" name="Nov" totalsRowFunction="sum" dataDxfId="218" totalsRowDxfId="217"/>
    <tableColumn id="13" xr3:uid="{00000000-0010-0000-0500-00000D000000}" name="Dic" totalsRowFunction="sum" dataDxfId="216" totalsRowDxfId="215"/>
    <tableColumn id="14" xr3:uid="{00000000-0010-0000-0500-00000E000000}" name="Anno" totalsRowFunction="sum" dataDxfId="214" totalsRowDxfId="213">
      <calculatedColumnFormula>SUM(tblSalute[[#This Row],[Gen]:[Dic]])</calculatedColumnFormula>
    </tableColumn>
    <tableColumn id="15" xr3:uid="{00000000-0010-0000-0500-00000F000000}" name="Colonna1" totalsRowDxfId="212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Health Expenses" altTextSummary="Immettere le spese per la salute per l'anno, separate per mese.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blQuote" displayName="tblQuote" ref="C88:Q96" totalsRowCount="1" headerRowDxfId="147" dataDxfId="146" totalsRowDxfId="145">
  <autoFilter ref="C88:Q95" xr:uid="{00000000-0009-0000-0100-000009000000}"/>
  <tableColumns count="15">
    <tableColumn id="1" xr3:uid="{00000000-0010-0000-0800-000001000000}" name="Quote/abbonamenti" totalsRowLabel="Totale" dataDxfId="144" totalsRowDxfId="143"/>
    <tableColumn id="2" xr3:uid="{00000000-0010-0000-0800-000002000000}" name="Gen" totalsRowFunction="sum" dataDxfId="142" totalsRowDxfId="141"/>
    <tableColumn id="3" xr3:uid="{00000000-0010-0000-0800-000003000000}" name="Feb" totalsRowFunction="sum" dataDxfId="140" totalsRowDxfId="139"/>
    <tableColumn id="4" xr3:uid="{00000000-0010-0000-0800-000004000000}" name="Marzo" totalsRowFunction="sum" dataDxfId="138" totalsRowDxfId="137"/>
    <tableColumn id="5" xr3:uid="{00000000-0010-0000-0800-000005000000}" name="Aprile" totalsRowFunction="sum" dataDxfId="136" totalsRowDxfId="135"/>
    <tableColumn id="6" xr3:uid="{00000000-0010-0000-0800-000006000000}" name="Mag" totalsRowFunction="sum" dataDxfId="134" totalsRowDxfId="133"/>
    <tableColumn id="7" xr3:uid="{00000000-0010-0000-0800-000007000000}" name="Giugno" totalsRowFunction="sum" dataDxfId="132" totalsRowDxfId="131"/>
    <tableColumn id="8" xr3:uid="{00000000-0010-0000-0800-000008000000}" name="Luglio" totalsRowFunction="sum" dataDxfId="130" totalsRowDxfId="129"/>
    <tableColumn id="9" xr3:uid="{00000000-0010-0000-0800-000009000000}" name="Ago" totalsRowFunction="sum" dataDxfId="128" totalsRowDxfId="127"/>
    <tableColumn id="10" xr3:uid="{00000000-0010-0000-0800-00000A000000}" name="Set" totalsRowFunction="sum" dataDxfId="126" totalsRowDxfId="125"/>
    <tableColumn id="11" xr3:uid="{00000000-0010-0000-0800-00000B000000}" name="Ott" totalsRowFunction="sum" dataDxfId="124" totalsRowDxfId="123"/>
    <tableColumn id="12" xr3:uid="{00000000-0010-0000-0800-00000C000000}" name="Nov" totalsRowFunction="sum" dataDxfId="122" totalsRowDxfId="121"/>
    <tableColumn id="13" xr3:uid="{00000000-0010-0000-0800-00000D000000}" name="Dic" totalsRowFunction="sum" dataDxfId="120" totalsRowDxfId="119"/>
    <tableColumn id="14" xr3:uid="{00000000-0010-0000-0800-00000E000000}" name="Anno" totalsRowFunction="sum" dataDxfId="118" totalsRowDxfId="117">
      <calculatedColumnFormula>SUM(tblQuote[[#This Row],[Gen]:[Dic]])</calculatedColumnFormula>
    </tableColumn>
    <tableColumn id="15" xr3:uid="{00000000-0010-0000-0800-00000F000000}" name="Colonna1" dataDxfId="116" totalsRowDxfId="115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Dues &amp; Subscription Expenses" altTextSummary="Immettere le spese per quote associative e abbonamenti per l'anno, separate per mese.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blPersonali" displayName="tblPersonali" ref="C100:Q106" totalsRowCount="1" headerRowDxfId="114" dataDxfId="113" totalsRowDxfId="112">
  <autoFilter ref="C100:Q105" xr:uid="{00000000-0009-0000-0100-00000A000000}"/>
  <tableColumns count="15">
    <tableColumn id="1" xr3:uid="{00000000-0010-0000-0900-000001000000}" name="Personali" totalsRowLabel="Totale" dataDxfId="111" totalsRowDxfId="110"/>
    <tableColumn id="2" xr3:uid="{00000000-0010-0000-0900-000002000000}" name="Gen" totalsRowFunction="sum" dataDxfId="109" totalsRowDxfId="108"/>
    <tableColumn id="3" xr3:uid="{00000000-0010-0000-0900-000003000000}" name="Feb" totalsRowFunction="sum" dataDxfId="107" totalsRowDxfId="106"/>
    <tableColumn id="4" xr3:uid="{00000000-0010-0000-0900-000004000000}" name="Marzo" totalsRowFunction="sum" dataDxfId="105" totalsRowDxfId="104"/>
    <tableColumn id="5" xr3:uid="{00000000-0010-0000-0900-000005000000}" name="Aprile" totalsRowFunction="sum" dataDxfId="103" totalsRowDxfId="102"/>
    <tableColumn id="6" xr3:uid="{00000000-0010-0000-0900-000006000000}" name="Mag" totalsRowFunction="sum" dataDxfId="101" totalsRowDxfId="100"/>
    <tableColumn id="7" xr3:uid="{00000000-0010-0000-0900-000007000000}" name="Giugno" totalsRowFunction="sum" dataDxfId="99" totalsRowDxfId="98"/>
    <tableColumn id="8" xr3:uid="{00000000-0010-0000-0900-000008000000}" name="Luglio" totalsRowFunction="sum" dataDxfId="97" totalsRowDxfId="96"/>
    <tableColumn id="9" xr3:uid="{00000000-0010-0000-0900-000009000000}" name="Ago" totalsRowFunction="sum" dataDxfId="95" totalsRowDxfId="94"/>
    <tableColumn id="10" xr3:uid="{00000000-0010-0000-0900-00000A000000}" name="Set" totalsRowFunction="sum" dataDxfId="93" totalsRowDxfId="92"/>
    <tableColumn id="11" xr3:uid="{00000000-0010-0000-0900-00000B000000}" name="Ott" totalsRowFunction="sum" dataDxfId="91" totalsRowDxfId="90"/>
    <tableColumn id="12" xr3:uid="{00000000-0010-0000-0900-00000C000000}" name="Nov" totalsRowFunction="sum" dataDxfId="89" totalsRowDxfId="88"/>
    <tableColumn id="13" xr3:uid="{00000000-0010-0000-0900-00000D000000}" name="Dic" totalsRowFunction="sum" dataDxfId="87" totalsRowDxfId="86"/>
    <tableColumn id="14" xr3:uid="{00000000-0010-0000-0900-00000E000000}" name="Anno" totalsRowFunction="sum" dataDxfId="85" totalsRowDxfId="84">
      <calculatedColumnFormula>SUM(tblPersonali[[#This Row],[Gen]:[Dic]])</calculatedColumnFormula>
    </tableColumn>
    <tableColumn id="15" xr3:uid="{00000000-0010-0000-0900-00000F000000}" name="Colonna1" dataDxfId="83" totalsRowDxfId="82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Personal Expenses" altTextSummary="Immettere le spese personali per l'anno, separate per mese.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blFinanze" displayName="tblFinanze" ref="C110:Q116" totalsRowCount="1" headerRowDxfId="81" dataDxfId="80" totalsRowDxfId="79">
  <autoFilter ref="C110:Q115" xr:uid="{00000000-0009-0000-0100-00000B000000}"/>
  <tableColumns count="15">
    <tableColumn id="1" xr3:uid="{00000000-0010-0000-0A00-000001000000}" name="Obblighi finanziari" totalsRowLabel="Totale" dataDxfId="78" totalsRowDxfId="77"/>
    <tableColumn id="2" xr3:uid="{00000000-0010-0000-0A00-000002000000}" name="Gen" totalsRowFunction="sum" dataDxfId="76" totalsRowDxfId="75"/>
    <tableColumn id="3" xr3:uid="{00000000-0010-0000-0A00-000003000000}" name="Feb" totalsRowFunction="sum" dataDxfId="74" totalsRowDxfId="73"/>
    <tableColumn id="4" xr3:uid="{00000000-0010-0000-0A00-000004000000}" name="Marzo" totalsRowFunction="sum" dataDxfId="72" totalsRowDxfId="71"/>
    <tableColumn id="5" xr3:uid="{00000000-0010-0000-0A00-000005000000}" name="Aprile" totalsRowFunction="sum" dataDxfId="70" totalsRowDxfId="69"/>
    <tableColumn id="6" xr3:uid="{00000000-0010-0000-0A00-000006000000}" name="Mag" totalsRowFunction="sum" dataDxfId="68" totalsRowDxfId="67"/>
    <tableColumn id="7" xr3:uid="{00000000-0010-0000-0A00-000007000000}" name="Giugno" totalsRowFunction="sum" dataDxfId="66" totalsRowDxfId="65"/>
    <tableColumn id="8" xr3:uid="{00000000-0010-0000-0A00-000008000000}" name="Luglio" totalsRowFunction="sum" dataDxfId="64" totalsRowDxfId="63"/>
    <tableColumn id="9" xr3:uid="{00000000-0010-0000-0A00-000009000000}" name="Ago" totalsRowFunction="sum" dataDxfId="62" totalsRowDxfId="61"/>
    <tableColumn id="10" xr3:uid="{00000000-0010-0000-0A00-00000A000000}" name="Set" totalsRowFunction="sum" dataDxfId="60" totalsRowDxfId="59"/>
    <tableColumn id="11" xr3:uid="{00000000-0010-0000-0A00-00000B000000}" name="Ott" totalsRowFunction="sum" dataDxfId="58" totalsRowDxfId="57"/>
    <tableColumn id="12" xr3:uid="{00000000-0010-0000-0A00-00000C000000}" name="Nov" totalsRowFunction="sum" dataDxfId="56" totalsRowDxfId="55"/>
    <tableColumn id="13" xr3:uid="{00000000-0010-0000-0A00-00000D000000}" name="Dic" totalsRowFunction="sum" dataDxfId="54" totalsRowDxfId="53"/>
    <tableColumn id="14" xr3:uid="{00000000-0010-0000-0A00-00000E000000}" name="Anno" totalsRowFunction="sum" dataDxfId="52" totalsRowDxfId="51">
      <calculatedColumnFormula>SUM(tblFinanze[[#This Row],[Gen]:[Dic]])</calculatedColumnFormula>
    </tableColumn>
    <tableColumn id="15" xr3:uid="{00000000-0010-0000-0A00-00000F000000}" name="Colonna1" dataDxfId="50" totalsRowDxfId="49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Financial Expenses" altTextSummary="Immettere le spese di tipo finanziario per l'anno, separate per mese."/>
    </ext>
  </extLst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blTotali" displayName="tblTotali" ref="C129:Q131" totalsRowShown="0" headerRowDxfId="31" dataDxfId="30">
  <tableColumns count="15">
    <tableColumn id="1" xr3:uid="{00000000-0010-0000-0C00-000001000000}" name="TOTALI" dataDxfId="29"/>
    <tableColumn id="2" xr3:uid="{00000000-0010-0000-0C00-000002000000}" name="GEN" dataDxfId="28">
      <calculatedColumnFormula>tabEntrate[[#Totals],[Gen]]-D129</calculatedColumnFormula>
    </tableColumn>
    <tableColumn id="3" xr3:uid="{00000000-0010-0000-0C00-000003000000}" name="FEB" dataDxfId="27">
      <calculatedColumnFormula>tabEntrate[[#Totals],[Feb]]-E129</calculatedColumnFormula>
    </tableColumn>
    <tableColumn id="4" xr3:uid="{00000000-0010-0000-0C00-000004000000}" name="MAR" dataDxfId="26">
      <calculatedColumnFormula>tabEntrate[[#Totals],[Marzo]]-F129</calculatedColumnFormula>
    </tableColumn>
    <tableColumn id="5" xr3:uid="{00000000-0010-0000-0C00-000005000000}" name="APR" dataDxfId="25">
      <calculatedColumnFormula>tabEntrate[[#Totals],[Aprile]]-G129</calculatedColumnFormula>
    </tableColumn>
    <tableColumn id="6" xr3:uid="{00000000-0010-0000-0C00-000006000000}" name="MAG" dataDxfId="24">
      <calculatedColumnFormula>tabEntrate[[#Totals],[Maggio]]-H129</calculatedColumnFormula>
    </tableColumn>
    <tableColumn id="7" xr3:uid="{00000000-0010-0000-0C00-000007000000}" name="GIU" dataDxfId="23">
      <calculatedColumnFormula>tabEntrate[[#Totals],[Giugno]]-I129</calculatedColumnFormula>
    </tableColumn>
    <tableColumn id="8" xr3:uid="{00000000-0010-0000-0C00-000008000000}" name="LUG" dataDxfId="22">
      <calculatedColumnFormula>tabEntrate[[#Totals],[Luglio]]-J129</calculatedColumnFormula>
    </tableColumn>
    <tableColumn id="9" xr3:uid="{00000000-0010-0000-0C00-000009000000}" name="AGO" dataDxfId="21">
      <calculatedColumnFormula>tabEntrate[[#Totals],[Ago]]-K129</calculatedColumnFormula>
    </tableColumn>
    <tableColumn id="10" xr3:uid="{00000000-0010-0000-0C00-00000A000000}" name="SET" dataDxfId="20">
      <calculatedColumnFormula>tabEntrate[[#Totals],[Set]]-L129</calculatedColumnFormula>
    </tableColumn>
    <tableColumn id="11" xr3:uid="{00000000-0010-0000-0C00-00000B000000}" name="OTT" dataDxfId="19">
      <calculatedColumnFormula>tabEntrate[[#Totals],[Ott]]-M129</calculatedColumnFormula>
    </tableColumn>
    <tableColumn id="12" xr3:uid="{00000000-0010-0000-0C00-00000C000000}" name="NOV" dataDxfId="18">
      <calculatedColumnFormula>tabEntrate[[#Totals],[Nov]]-N129</calculatedColumnFormula>
    </tableColumn>
    <tableColumn id="13" xr3:uid="{00000000-0010-0000-0C00-00000D000000}" name="DIC" dataDxfId="17">
      <calculatedColumnFormula>tabEntrate[[#Totals],[Dic]]-O129</calculatedColumnFormula>
    </tableColumn>
    <tableColumn id="14" xr3:uid="{00000000-0010-0000-0C00-00000E000000}" name="ANNO" dataDxfId="16">
      <calculatedColumnFormula>tabEntrate[[#Totals],[Anno]]-P129</calculatedColumnFormula>
    </tableColumn>
    <tableColumn id="15" xr3:uid="{00000000-0010-0000-0C00-00000F000000}" name=" " dataDxfId="1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="Totals" altTextSummary="Visualizzare i totali dell'anno, separati per mese."/>
    </ext>
  </extLst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Casa" displayName="tblCasa" ref="C15:Q21" totalsRowCount="1" headerRowDxfId="360" dataDxfId="359" totalsRowDxfId="358">
  <autoFilter ref="C15:Q20" xr:uid="{00000000-0009-0000-0100-000002000000}"/>
  <tableColumns count="15">
    <tableColumn id="1" xr3:uid="{00000000-0010-0000-0100-000001000000}" name="Casa" totalsRowLabel="Totale" totalsRowDxfId="357"/>
    <tableColumn id="2" xr3:uid="{00000000-0010-0000-0100-000002000000}" name="Gen" totalsRowFunction="sum" dataDxfId="356" totalsRowDxfId="355"/>
    <tableColumn id="3" xr3:uid="{00000000-0010-0000-0100-000003000000}" name="Feb" totalsRowFunction="sum" dataDxfId="354" totalsRowDxfId="353"/>
    <tableColumn id="4" xr3:uid="{00000000-0010-0000-0100-000004000000}" name="Marzo" totalsRowFunction="sum" dataDxfId="352" totalsRowDxfId="351"/>
    <tableColumn id="5" xr3:uid="{00000000-0010-0000-0100-000005000000}" name="Aprile" totalsRowFunction="sum" dataDxfId="350" totalsRowDxfId="349"/>
    <tableColumn id="6" xr3:uid="{00000000-0010-0000-0100-000006000000}" name="Mag" totalsRowFunction="sum" dataDxfId="348" totalsRowDxfId="347"/>
    <tableColumn id="7" xr3:uid="{00000000-0010-0000-0100-000007000000}" name="Giugno" totalsRowFunction="sum" dataDxfId="346" totalsRowDxfId="345"/>
    <tableColumn id="8" xr3:uid="{00000000-0010-0000-0100-000008000000}" name="Luglio" totalsRowFunction="sum" dataDxfId="344" totalsRowDxfId="343"/>
    <tableColumn id="9" xr3:uid="{00000000-0010-0000-0100-000009000000}" name="Ago" totalsRowFunction="sum" dataDxfId="342" totalsRowDxfId="341"/>
    <tableColumn id="10" xr3:uid="{00000000-0010-0000-0100-00000A000000}" name="Set" totalsRowFunction="sum" dataDxfId="340" totalsRowDxfId="339"/>
    <tableColumn id="11" xr3:uid="{00000000-0010-0000-0100-00000B000000}" name="Ott" totalsRowFunction="sum" dataDxfId="338" totalsRowDxfId="337"/>
    <tableColumn id="12" xr3:uid="{00000000-0010-0000-0100-00000C000000}" name="Nov" totalsRowFunction="sum" dataDxfId="336" totalsRowDxfId="335"/>
    <tableColumn id="13" xr3:uid="{00000000-0010-0000-0100-00000D000000}" name="Dic" totalsRowFunction="sum" dataDxfId="334" totalsRowDxfId="333"/>
    <tableColumn id="14" xr3:uid="{00000000-0010-0000-0100-00000E000000}" name="Anno" totalsRowFunction="sum" dataDxfId="332" totalsRowDxfId="331">
      <calculatedColumnFormula>SUM(tblCasa[[#This Row],[Gen]:[Dic]])</calculatedColumnFormula>
    </tableColumn>
    <tableColumn id="15" xr3:uid="{00000000-0010-0000-0100-00000F000000}" name="Colonna1" totalsRowDxfId="330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Home Expenses" altTextSummary="Immettere le spese per la casa per l'anno, separate per mese."/>
    </ext>
  </extLst>
</table>
</file>

<file path=xl/tables/table7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Vacanze" displayName="tblVacanze" ref="C68:Q75" totalsRowCount="1" headerRowDxfId="211" dataDxfId="210" totalsRowDxfId="209">
  <autoFilter ref="C68:Q74" xr:uid="{00000000-0009-0000-0100-000007000000}"/>
  <tableColumns count="15">
    <tableColumn id="1" xr3:uid="{00000000-0010-0000-0600-000001000000}" name="Vacanze" totalsRowLabel="Totale" totalsRowDxfId="208"/>
    <tableColumn id="2" xr3:uid="{00000000-0010-0000-0600-000002000000}" name="Gen" totalsRowFunction="sum" dataDxfId="207" totalsRowDxfId="206"/>
    <tableColumn id="3" xr3:uid="{00000000-0010-0000-0600-000003000000}" name="Feb" totalsRowFunction="sum" dataDxfId="205" totalsRowDxfId="204"/>
    <tableColumn id="4" xr3:uid="{00000000-0010-0000-0600-000004000000}" name="Marzo" totalsRowFunction="sum" dataDxfId="203" totalsRowDxfId="202"/>
    <tableColumn id="5" xr3:uid="{00000000-0010-0000-0600-000005000000}" name="Aprile" totalsRowFunction="sum" dataDxfId="201" totalsRowDxfId="200"/>
    <tableColumn id="6" xr3:uid="{00000000-0010-0000-0600-000006000000}" name="Mag" totalsRowFunction="sum" dataDxfId="199" totalsRowDxfId="198"/>
    <tableColumn id="7" xr3:uid="{00000000-0010-0000-0600-000007000000}" name="Giugno" totalsRowFunction="sum" dataDxfId="197" totalsRowDxfId="196"/>
    <tableColumn id="8" xr3:uid="{00000000-0010-0000-0600-000008000000}" name="Luglio" totalsRowFunction="sum" dataDxfId="195" totalsRowDxfId="194"/>
    <tableColumn id="9" xr3:uid="{00000000-0010-0000-0600-000009000000}" name="Ago" totalsRowFunction="sum" dataDxfId="193" totalsRowDxfId="192"/>
    <tableColumn id="10" xr3:uid="{00000000-0010-0000-0600-00000A000000}" name="Set" totalsRowFunction="sum" dataDxfId="191" totalsRowDxfId="190"/>
    <tableColumn id="11" xr3:uid="{00000000-0010-0000-0600-00000B000000}" name="Ott" totalsRowFunction="sum" dataDxfId="189" totalsRowDxfId="188"/>
    <tableColumn id="12" xr3:uid="{00000000-0010-0000-0600-00000C000000}" name="Nov" totalsRowFunction="sum" dataDxfId="187" totalsRowDxfId="186"/>
    <tableColumn id="13" xr3:uid="{00000000-0010-0000-0600-00000D000000}" name="Dic" totalsRowFunction="sum" dataDxfId="185" totalsRowDxfId="184"/>
    <tableColumn id="14" xr3:uid="{00000000-0010-0000-0600-00000E000000}" name="Anno" totalsRowFunction="sum" dataDxfId="183" totalsRowDxfId="182">
      <calculatedColumnFormula>SUM(tblVacanze[[#This Row],[Gen]:[Dic]])</calculatedColumnFormula>
    </tableColumn>
    <tableColumn id="15" xr3:uid="{00000000-0010-0000-0600-00000F000000}" name="Colonna1" totalsRowDxfId="181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Vacation Expenses" altTextSummary="Immettere le spese per vacanze per l'anno, separate per mese."/>
    </ext>
  </extLst>
</table>
</file>

<file path=xl/tables/table8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blTempolibero" displayName="tblTempolibero" ref="C79:Q84" totalsRowCount="1" headerRowDxfId="180" dataDxfId="179" totalsRowDxfId="178">
  <autoFilter ref="C79:Q83" xr:uid="{00000000-0009-0000-0100-000008000000}"/>
  <tableColumns count="15">
    <tableColumn id="1" xr3:uid="{00000000-0010-0000-0700-000001000000}" name="Tempo libero" totalsRowLabel="Totale" dataDxfId="177" totalsRowDxfId="176"/>
    <tableColumn id="2" xr3:uid="{00000000-0010-0000-0700-000002000000}" name="Gen" totalsRowFunction="sum" dataDxfId="175" totalsRowDxfId="174"/>
    <tableColumn id="3" xr3:uid="{00000000-0010-0000-0700-000003000000}" name="Feb" totalsRowFunction="sum" dataDxfId="173" totalsRowDxfId="172"/>
    <tableColumn id="4" xr3:uid="{00000000-0010-0000-0700-000004000000}" name="Marzo" totalsRowFunction="sum" dataDxfId="171" totalsRowDxfId="170"/>
    <tableColumn id="5" xr3:uid="{00000000-0010-0000-0700-000005000000}" name="Aprile" totalsRowFunction="sum" dataDxfId="169" totalsRowDxfId="168"/>
    <tableColumn id="6" xr3:uid="{00000000-0010-0000-0700-000006000000}" name="Mag" totalsRowFunction="sum" dataDxfId="167" totalsRowDxfId="166"/>
    <tableColumn id="7" xr3:uid="{00000000-0010-0000-0700-000007000000}" name="Giugno" totalsRowFunction="sum" dataDxfId="165" totalsRowDxfId="164"/>
    <tableColumn id="8" xr3:uid="{00000000-0010-0000-0700-000008000000}" name="Luglio" totalsRowFunction="sum" dataDxfId="163" totalsRowDxfId="162"/>
    <tableColumn id="9" xr3:uid="{00000000-0010-0000-0700-000009000000}" name="Ago" totalsRowFunction="sum" dataDxfId="161" totalsRowDxfId="160"/>
    <tableColumn id="10" xr3:uid="{00000000-0010-0000-0700-00000A000000}" name="Set" totalsRowFunction="sum" dataDxfId="159" totalsRowDxfId="158"/>
    <tableColumn id="11" xr3:uid="{00000000-0010-0000-0700-00000B000000}" name="Ott" totalsRowFunction="sum" dataDxfId="157" totalsRowDxfId="156"/>
    <tableColumn id="12" xr3:uid="{00000000-0010-0000-0700-00000C000000}" name="Nov" totalsRowFunction="sum" dataDxfId="155" totalsRowDxfId="154"/>
    <tableColumn id="13" xr3:uid="{00000000-0010-0000-0700-00000D000000}" name="Dic" totalsRowFunction="sum" dataDxfId="153" totalsRowDxfId="152"/>
    <tableColumn id="14" xr3:uid="{00000000-0010-0000-0700-00000E000000}" name="Anno" totalsRowFunction="sum" dataDxfId="151" totalsRowDxfId="150">
      <calculatedColumnFormula>SUM(tblTempolibero[[#This Row],[Gen]:[Dic]])</calculatedColumnFormula>
    </tableColumn>
    <tableColumn id="15" xr3:uid="{00000000-0010-0000-0700-00000F000000}" name="Colonna1" dataDxfId="149" totalsRowDxfId="148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Recreation Expenses" altTextSummary="Immettere le spese per il tempo libero per l'anno, separate per mese."/>
    </ext>
  </extLst>
</table>
</file>

<file path=xl/tables/table1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Varie" displayName="tabVarie" ref="C120:Q126" totalsRowCount="1" headerRowDxfId="48" dataDxfId="47" totalsRowDxfId="46">
  <autoFilter ref="C120:Q125" xr:uid="{00000000-0009-0000-0100-00000C000000}"/>
  <tableColumns count="15">
    <tableColumn id="1" xr3:uid="{00000000-0010-0000-0B00-000001000000}" name="Pagamenti vari" totalsRowLabel="Totale" totalsRowDxfId="14"/>
    <tableColumn id="2" xr3:uid="{00000000-0010-0000-0B00-000002000000}" name="Gen" totalsRowFunction="sum" dataDxfId="45" totalsRowDxfId="13"/>
    <tableColumn id="3" xr3:uid="{00000000-0010-0000-0B00-000003000000}" name="Feb" totalsRowFunction="sum" dataDxfId="44" totalsRowDxfId="12"/>
    <tableColumn id="4" xr3:uid="{00000000-0010-0000-0B00-000004000000}" name="Marzo" totalsRowFunction="sum" dataDxfId="43" totalsRowDxfId="11"/>
    <tableColumn id="5" xr3:uid="{00000000-0010-0000-0B00-000005000000}" name="Aprile" totalsRowFunction="sum" dataDxfId="42" totalsRowDxfId="10"/>
    <tableColumn id="6" xr3:uid="{00000000-0010-0000-0B00-000006000000}" name="Mag" totalsRowFunction="sum" dataDxfId="41" totalsRowDxfId="9"/>
    <tableColumn id="7" xr3:uid="{00000000-0010-0000-0B00-000007000000}" name="Giugno" totalsRowFunction="sum" dataDxfId="40" totalsRowDxfId="8"/>
    <tableColumn id="8" xr3:uid="{00000000-0010-0000-0B00-000008000000}" name="Luglio" totalsRowFunction="sum" dataDxfId="39" totalsRowDxfId="7"/>
    <tableColumn id="9" xr3:uid="{00000000-0010-0000-0B00-000009000000}" name="Ago" totalsRowFunction="sum" dataDxfId="38" totalsRowDxfId="6"/>
    <tableColumn id="10" xr3:uid="{00000000-0010-0000-0B00-00000A000000}" name="Set" totalsRowFunction="sum" dataDxfId="37" totalsRowDxfId="5"/>
    <tableColumn id="11" xr3:uid="{00000000-0010-0000-0B00-00000B000000}" name="Ott" totalsRowFunction="sum" dataDxfId="36" totalsRowDxfId="4"/>
    <tableColumn id="12" xr3:uid="{00000000-0010-0000-0B00-00000C000000}" name="Nov" totalsRowFunction="sum" dataDxfId="35" totalsRowDxfId="3"/>
    <tableColumn id="13" xr3:uid="{00000000-0010-0000-0B00-00000D000000}" name="Dic" totalsRowFunction="sum" dataDxfId="34" totalsRowDxfId="2"/>
    <tableColumn id="14" xr3:uid="{00000000-0010-0000-0B00-00000E000000}" name="Anno" totalsRowFunction="sum" dataDxfId="33" totalsRowDxfId="1">
      <calculatedColumnFormula>SUM(tabVarie[[#This Row],[Gen]:[Dic]])</calculatedColumnFormula>
    </tableColumn>
    <tableColumn id="15" xr3:uid="{00000000-0010-0000-0B00-00000F000000}" name="Colonna1" dataDxfId="32" totalsRowDxfId="0"/>
  </tableColumns>
  <tableStyleInfo showFirstColumn="0" showLastColumn="0" showRowStripes="0" showColumnStripes="1"/>
  <extLst>
    <ext xmlns:x14="http://schemas.microsoft.com/office/spreadsheetml/2009/9/main" uri="{504A1905-F514-4f6f-8877-14C23A59335A}">
      <x14:table altText="Misc Expenses" altTextSummary="Immettere le spese varie per l'anno, separate per mese."/>
    </ext>
  </extLst>
</table>
</file>

<file path=xl/theme/theme1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B79AD"/>
      </a:accent1>
      <a:accent2>
        <a:srgbClr val="1D7B7D"/>
      </a:accent2>
      <a:accent3>
        <a:srgbClr val="EF4755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61.xml" Id="rId8" /><Relationship Type="http://schemas.openxmlformats.org/officeDocument/2006/relationships/table" Target="/xl/tables/table112.xml" Id="rId13" /><Relationship Type="http://schemas.openxmlformats.org/officeDocument/2006/relationships/table" Target="/xl/tables/table13.xml" Id="rId3" /><Relationship Type="http://schemas.openxmlformats.org/officeDocument/2006/relationships/table" Target="/xl/tables/table54.xml" Id="rId7" /><Relationship Type="http://schemas.openxmlformats.org/officeDocument/2006/relationships/table" Target="/xl/tables/table105.xml" Id="rId12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Relationship Type="http://schemas.openxmlformats.org/officeDocument/2006/relationships/table" Target="/xl/tables/table46.xml" Id="rId6" /><Relationship Type="http://schemas.openxmlformats.org/officeDocument/2006/relationships/table" Target="/xl/tables/table97.xml" Id="rId11" /><Relationship Type="http://schemas.openxmlformats.org/officeDocument/2006/relationships/table" Target="/xl/tables/table38.xml" Id="rId5" /><Relationship Type="http://schemas.openxmlformats.org/officeDocument/2006/relationships/table" Target="/xl/tables/table139.xml" Id="rId15" /><Relationship Type="http://schemas.openxmlformats.org/officeDocument/2006/relationships/table" Target="/xl/tables/table810.xml" Id="rId10" /><Relationship Type="http://schemas.openxmlformats.org/officeDocument/2006/relationships/table" Target="/xl/tables/table211.xml" Id="rId4" /><Relationship Type="http://schemas.openxmlformats.org/officeDocument/2006/relationships/table" Target="/xl/tables/table712.xml" Id="rId9" /><Relationship Type="http://schemas.openxmlformats.org/officeDocument/2006/relationships/table" Target="/xl/tables/table1213.xml" Id="rId14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R142"/>
  <sheetViews>
    <sheetView showGridLines="0" tabSelected="1" zoomScale="96" zoomScaleNormal="96" workbookViewId="0"/>
  </sheetViews>
  <sheetFormatPr defaultRowHeight="12.75" x14ac:dyDescent="0.2"/>
  <cols>
    <col min="1" max="1" width="4.75" style="2" customWidth="1"/>
    <col min="2" max="2" width="1.875" style="14" customWidth="1"/>
    <col min="3" max="3" width="31" style="14" bestFit="1" customWidth="1"/>
    <col min="4" max="16" width="12.375" style="1" customWidth="1"/>
    <col min="17" max="17" width="12.375" style="14" customWidth="1"/>
  </cols>
  <sheetData>
    <row r="1" spans="1:17" x14ac:dyDescent="0.2">
      <c r="A1" s="50"/>
      <c r="B1" s="51"/>
      <c r="C1" s="51"/>
      <c r="D1" s="52"/>
      <c r="E1" s="52"/>
    </row>
    <row r="2" spans="1:17" ht="35.25" customHeight="1" thickBot="1" x14ac:dyDescent="0.75">
      <c r="A2" s="50"/>
      <c r="B2" s="51"/>
      <c r="C2" s="74"/>
      <c r="D2" s="74"/>
      <c r="E2" s="53"/>
      <c r="F2" s="4"/>
      <c r="G2" s="4"/>
      <c r="H2" s="4"/>
      <c r="I2" s="49"/>
      <c r="J2" s="4"/>
      <c r="K2" s="4"/>
      <c r="L2" s="4"/>
      <c r="M2" s="4"/>
      <c r="N2" s="4"/>
      <c r="O2" s="4"/>
      <c r="P2" s="4"/>
      <c r="Q2" s="5"/>
    </row>
    <row r="3" spans="1:17" ht="26.25" customHeight="1" x14ac:dyDescent="0.2">
      <c r="A3" s="50"/>
      <c r="B3" s="51"/>
      <c r="C3" s="51"/>
      <c r="D3" s="52"/>
      <c r="E3" s="54"/>
    </row>
    <row r="4" spans="1:17" ht="21" customHeight="1" x14ac:dyDescent="0.2">
      <c r="B4" s="34"/>
      <c r="C4" s="11" t="s">
        <v>0</v>
      </c>
      <c r="D4" s="12" t="s">
        <v>85</v>
      </c>
      <c r="E4" s="12" t="s">
        <v>87</v>
      </c>
      <c r="F4" s="12" t="s">
        <v>89</v>
      </c>
      <c r="G4" s="12" t="s">
        <v>91</v>
      </c>
      <c r="H4" s="12" t="s">
        <v>93</v>
      </c>
      <c r="I4" s="12" t="s">
        <v>96</v>
      </c>
      <c r="J4" s="12" t="s">
        <v>98</v>
      </c>
      <c r="K4" s="12" t="s">
        <v>100</v>
      </c>
      <c r="L4" s="12" t="s">
        <v>102</v>
      </c>
      <c r="M4" s="12" t="s">
        <v>104</v>
      </c>
      <c r="N4" s="12" t="s">
        <v>106</v>
      </c>
      <c r="O4" s="12" t="s">
        <v>108</v>
      </c>
      <c r="P4" s="12" t="s">
        <v>110</v>
      </c>
      <c r="Q4" s="12"/>
    </row>
    <row r="5" spans="1:17" ht="21" customHeight="1" x14ac:dyDescent="0.2">
      <c r="B5" s="34"/>
      <c r="C5" s="15" t="s">
        <v>1</v>
      </c>
      <c r="D5" s="25"/>
      <c r="E5" s="25"/>
      <c r="F5" s="13"/>
      <c r="G5" s="24"/>
      <c r="H5" s="13"/>
      <c r="I5" s="13"/>
      <c r="J5" s="13"/>
      <c r="K5" s="13"/>
      <c r="L5" s="13"/>
      <c r="M5" s="13"/>
      <c r="N5" s="13"/>
      <c r="O5" s="13"/>
      <c r="P5" s="13"/>
      <c r="Q5" s="24" t="s">
        <v>112</v>
      </c>
    </row>
    <row r="6" spans="1:17" ht="15.95" hidden="1" customHeight="1" x14ac:dyDescent="0.2">
      <c r="B6" s="34"/>
      <c r="C6" t="s">
        <v>1</v>
      </c>
      <c r="D6" t="s">
        <v>86</v>
      </c>
      <c r="E6" t="s">
        <v>88</v>
      </c>
      <c r="F6" t="s">
        <v>90</v>
      </c>
      <c r="G6" t="s">
        <v>92</v>
      </c>
      <c r="H6" t="s">
        <v>94</v>
      </c>
      <c r="I6" t="s">
        <v>97</v>
      </c>
      <c r="J6" t="s">
        <v>99</v>
      </c>
      <c r="K6" t="s">
        <v>101</v>
      </c>
      <c r="L6" t="s">
        <v>103</v>
      </c>
      <c r="M6" t="s">
        <v>105</v>
      </c>
      <c r="N6" t="s">
        <v>107</v>
      </c>
      <c r="O6" t="s">
        <v>109</v>
      </c>
      <c r="P6" t="s">
        <v>111</v>
      </c>
      <c r="Q6" t="s">
        <v>113</v>
      </c>
    </row>
    <row r="7" spans="1:17" ht="15.95" customHeight="1" x14ac:dyDescent="0.2">
      <c r="B7" s="34"/>
      <c r="C7" s="9" t="s">
        <v>2</v>
      </c>
      <c r="D7" s="56">
        <v>2600</v>
      </c>
      <c r="E7" s="56">
        <v>2600</v>
      </c>
      <c r="F7" s="56">
        <v>2600</v>
      </c>
      <c r="G7" s="56"/>
      <c r="H7" s="56"/>
      <c r="I7" s="56"/>
      <c r="J7" s="56"/>
      <c r="K7" s="56"/>
      <c r="L7" s="56"/>
      <c r="M7" s="56"/>
      <c r="N7" s="56"/>
      <c r="O7" s="56"/>
      <c r="P7" s="56">
        <f>SUM(tabEntrate[[#This Row],[Gen]:[Dic]])</f>
        <v>7800</v>
      </c>
      <c r="Q7" s="56"/>
    </row>
    <row r="8" spans="1:17" ht="15.95" customHeight="1" x14ac:dyDescent="0.2">
      <c r="B8" s="34"/>
      <c r="C8" s="9" t="s">
        <v>3</v>
      </c>
      <c r="D8" s="56">
        <v>649</v>
      </c>
      <c r="E8" s="56">
        <v>313</v>
      </c>
      <c r="F8" s="56">
        <v>664</v>
      </c>
      <c r="G8" s="56"/>
      <c r="H8" s="56"/>
      <c r="I8" s="56"/>
      <c r="J8" s="56"/>
      <c r="K8" s="56"/>
      <c r="L8" s="56"/>
      <c r="M8" s="56"/>
      <c r="N8" s="56"/>
      <c r="O8" s="56"/>
      <c r="P8" s="56">
        <f>SUM(tabEntrate[[#This Row],[Gen]:[Dic]])</f>
        <v>1626</v>
      </c>
      <c r="Q8" s="57"/>
    </row>
    <row r="9" spans="1:17" ht="15.95" customHeight="1" x14ac:dyDescent="0.2">
      <c r="B9" s="34"/>
      <c r="C9" s="9" t="s">
        <v>4</v>
      </c>
      <c r="D9" s="56">
        <v>474</v>
      </c>
      <c r="E9" s="56">
        <v>643</v>
      </c>
      <c r="F9" s="56">
        <v>380</v>
      </c>
      <c r="G9" s="56"/>
      <c r="H9" s="56"/>
      <c r="I9" s="56"/>
      <c r="J9" s="56"/>
      <c r="K9" s="56"/>
      <c r="L9" s="56"/>
      <c r="M9" s="56"/>
      <c r="N9" s="56"/>
      <c r="O9" s="56"/>
      <c r="P9" s="56">
        <f>SUM(tabEntrate[[#This Row],[Gen]:[Dic]])</f>
        <v>1497</v>
      </c>
      <c r="Q9" s="56"/>
    </row>
    <row r="10" spans="1:17" ht="21" customHeight="1" x14ac:dyDescent="0.2">
      <c r="B10" s="34"/>
      <c r="C10" s="45" t="s">
        <v>5</v>
      </c>
      <c r="D10" s="57">
        <f>SUBTOTAL(109,tabEntrate[Gen])</f>
        <v>3723</v>
      </c>
      <c r="E10" s="57">
        <f>SUBTOTAL(109,tabEntrate[Feb])</f>
        <v>3556</v>
      </c>
      <c r="F10" s="57">
        <f>SUBTOTAL(109,tabEntrate[Marzo])</f>
        <v>3644</v>
      </c>
      <c r="G10" s="57">
        <f>SUBTOTAL(109,tabEntrate[Aprile])</f>
        <v>0</v>
      </c>
      <c r="H10" s="57">
        <f>SUBTOTAL(109,tabEntrate[Maggio])</f>
        <v>0</v>
      </c>
      <c r="I10" s="57">
        <f>SUBTOTAL(109,tabEntrate[Giugno])</f>
        <v>0</v>
      </c>
      <c r="J10" s="57">
        <f>SUBTOTAL(109,tabEntrate[Luglio])</f>
        <v>0</v>
      </c>
      <c r="K10" s="57">
        <f>SUBTOTAL(109,tabEntrate[Ago])</f>
        <v>0</v>
      </c>
      <c r="L10" s="57">
        <f>SUBTOTAL(109,tabEntrate[Set])</f>
        <v>0</v>
      </c>
      <c r="M10" s="57">
        <f>SUBTOTAL(109,tabEntrate[Ott])</f>
        <v>0</v>
      </c>
      <c r="N10" s="57">
        <f>SUBTOTAL(109,tabEntrate[Nov])</f>
        <v>0</v>
      </c>
      <c r="O10" s="57">
        <f>SUBTOTAL(109,tabEntrate[Dic])</f>
        <v>0</v>
      </c>
      <c r="P10" s="57">
        <f>SUBTOTAL(109,tabEntrate[Anno])</f>
        <v>10923</v>
      </c>
      <c r="Q10" s="20"/>
    </row>
    <row r="11" spans="1:17" s="14" customFormat="1" ht="8.1" customHeight="1" x14ac:dyDescent="0.2">
      <c r="B11" s="34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24" customHeight="1" x14ac:dyDescent="0.2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ht="21" customHeight="1" x14ac:dyDescent="0.2">
      <c r="B13" s="35"/>
      <c r="C13" s="11" t="s">
        <v>6</v>
      </c>
      <c r="D13" s="12" t="s">
        <v>85</v>
      </c>
      <c r="E13" s="12" t="s">
        <v>87</v>
      </c>
      <c r="F13" s="12" t="s">
        <v>89</v>
      </c>
      <c r="G13" s="12" t="s">
        <v>91</v>
      </c>
      <c r="H13" s="12" t="s">
        <v>93</v>
      </c>
      <c r="I13" s="12" t="s">
        <v>96</v>
      </c>
      <c r="J13" s="12" t="s">
        <v>98</v>
      </c>
      <c r="K13" s="12" t="s">
        <v>100</v>
      </c>
      <c r="L13" s="12" t="s">
        <v>102</v>
      </c>
      <c r="M13" s="12" t="s">
        <v>104</v>
      </c>
      <c r="N13" s="12" t="s">
        <v>106</v>
      </c>
      <c r="O13" s="12" t="s">
        <v>108</v>
      </c>
      <c r="P13" s="12" t="s">
        <v>110</v>
      </c>
      <c r="Q13" s="12"/>
    </row>
    <row r="14" spans="1:17" ht="21" customHeight="1" x14ac:dyDescent="0.2">
      <c r="B14" s="35"/>
      <c r="C14" s="21" t="s">
        <v>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15.95" hidden="1" customHeight="1" x14ac:dyDescent="0.2">
      <c r="B15" s="35"/>
      <c r="C15" t="s">
        <v>8</v>
      </c>
      <c r="D15" t="s">
        <v>86</v>
      </c>
      <c r="E15" t="s">
        <v>88</v>
      </c>
      <c r="F15" t="s">
        <v>90</v>
      </c>
      <c r="G15" t="s">
        <v>92</v>
      </c>
      <c r="H15" t="s">
        <v>95</v>
      </c>
      <c r="I15" t="s">
        <v>97</v>
      </c>
      <c r="J15" t="s">
        <v>99</v>
      </c>
      <c r="K15" t="s">
        <v>101</v>
      </c>
      <c r="L15" t="s">
        <v>103</v>
      </c>
      <c r="M15" t="s">
        <v>105</v>
      </c>
      <c r="N15" t="s">
        <v>107</v>
      </c>
      <c r="O15" t="s">
        <v>109</v>
      </c>
      <c r="P15" t="s">
        <v>111</v>
      </c>
      <c r="Q15" t="s">
        <v>113</v>
      </c>
    </row>
    <row r="16" spans="1:17" ht="15.95" customHeight="1" x14ac:dyDescent="0.2">
      <c r="B16" s="35"/>
      <c r="C16" s="8" t="s">
        <v>9</v>
      </c>
      <c r="D16" s="58">
        <v>750</v>
      </c>
      <c r="E16" s="58">
        <v>750</v>
      </c>
      <c r="F16" s="58">
        <v>750</v>
      </c>
      <c r="G16" s="58"/>
      <c r="H16" s="58"/>
      <c r="I16" s="58"/>
      <c r="J16" s="58"/>
      <c r="K16" s="58"/>
      <c r="L16" s="58"/>
      <c r="M16" s="58"/>
      <c r="N16" s="58"/>
      <c r="O16" s="58"/>
      <c r="P16" s="58">
        <f>SUM(tblCasa[[#This Row],[Gen]:[Dic]])</f>
        <v>2250</v>
      </c>
      <c r="Q16" s="58"/>
    </row>
    <row r="17" spans="1:18" ht="15.95" customHeight="1" x14ac:dyDescent="0.2">
      <c r="B17" s="35"/>
      <c r="C17" s="8" t="s">
        <v>10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>
        <f>SUM(tblCasa[[#This Row],[Gen]:[Dic]])</f>
        <v>0</v>
      </c>
      <c r="Q17" s="59"/>
    </row>
    <row r="18" spans="1:18" ht="15.95" customHeight="1" x14ac:dyDescent="0.2">
      <c r="B18" s="35"/>
      <c r="C18" s="8" t="s">
        <v>11</v>
      </c>
      <c r="D18" s="58"/>
      <c r="E18" s="58"/>
      <c r="F18" s="58">
        <v>75</v>
      </c>
      <c r="G18" s="58"/>
      <c r="H18" s="58"/>
      <c r="I18" s="58"/>
      <c r="J18" s="58"/>
      <c r="K18" s="58"/>
      <c r="L18" s="58"/>
      <c r="M18" s="58"/>
      <c r="N18" s="58"/>
      <c r="O18" s="58"/>
      <c r="P18" s="58">
        <f>SUM(tblCasa[[#This Row],[Gen]:[Dic]])</f>
        <v>75</v>
      </c>
      <c r="Q18" s="58"/>
    </row>
    <row r="19" spans="1:18" ht="15.95" customHeight="1" x14ac:dyDescent="0.2">
      <c r="B19" s="35"/>
      <c r="C19" s="8" t="s">
        <v>12</v>
      </c>
      <c r="D19" s="58">
        <v>35</v>
      </c>
      <c r="E19" s="58">
        <v>35</v>
      </c>
      <c r="F19" s="58">
        <v>35</v>
      </c>
      <c r="G19" s="58"/>
      <c r="H19" s="58"/>
      <c r="I19" s="58"/>
      <c r="J19" s="58"/>
      <c r="K19" s="58"/>
      <c r="L19" s="58"/>
      <c r="M19" s="58"/>
      <c r="N19" s="58"/>
      <c r="O19" s="58"/>
      <c r="P19" s="58">
        <f>SUM(tblCasa[[#This Row],[Gen]:[Dic]])</f>
        <v>105</v>
      </c>
      <c r="Q19" s="59"/>
      <c r="R19" s="10"/>
    </row>
    <row r="20" spans="1:18" ht="15.95" customHeight="1" x14ac:dyDescent="0.2">
      <c r="B20" s="35"/>
      <c r="C20" s="8" t="s">
        <v>13</v>
      </c>
      <c r="D20" s="58">
        <v>165</v>
      </c>
      <c r="E20" s="58">
        <v>165</v>
      </c>
      <c r="F20" s="58">
        <v>165</v>
      </c>
      <c r="G20" s="58"/>
      <c r="H20" s="58"/>
      <c r="I20" s="58"/>
      <c r="J20" s="58"/>
      <c r="K20" s="58"/>
      <c r="L20" s="58"/>
      <c r="M20" s="58"/>
      <c r="N20" s="58"/>
      <c r="O20" s="58"/>
      <c r="P20" s="58">
        <f>SUM(tblCasa[[#This Row],[Gen]:[Dic]])</f>
        <v>495</v>
      </c>
      <c r="Q20" s="58"/>
    </row>
    <row r="21" spans="1:18" s="14" customFormat="1" ht="21" customHeight="1" x14ac:dyDescent="0.2">
      <c r="B21" s="35"/>
      <c r="C21" s="23" t="s">
        <v>5</v>
      </c>
      <c r="D21" s="59">
        <f>SUBTOTAL(109,tblCasa[Gen])</f>
        <v>950</v>
      </c>
      <c r="E21" s="59">
        <f>SUBTOTAL(109,tblCasa[Feb])</f>
        <v>950</v>
      </c>
      <c r="F21" s="59">
        <f>SUBTOTAL(109,tblCasa[Marzo])</f>
        <v>1025</v>
      </c>
      <c r="G21" s="59">
        <f>SUBTOTAL(109,tblCasa[Aprile])</f>
        <v>0</v>
      </c>
      <c r="H21" s="59">
        <f>SUBTOTAL(109,tblCasa[Mag])</f>
        <v>0</v>
      </c>
      <c r="I21" s="59">
        <f>SUBTOTAL(109,tblCasa[Giugno])</f>
        <v>0</v>
      </c>
      <c r="J21" s="59">
        <f>SUBTOTAL(109,tblCasa[Luglio])</f>
        <v>0</v>
      </c>
      <c r="K21" s="59">
        <f>SUBTOTAL(109,tblCasa[Ago])</f>
        <v>0</v>
      </c>
      <c r="L21" s="59">
        <f>SUBTOTAL(109,tblCasa[Set])</f>
        <v>0</v>
      </c>
      <c r="M21" s="59">
        <f>SUBTOTAL(109,tblCasa[Ott])</f>
        <v>0</v>
      </c>
      <c r="N21" s="59">
        <f>SUBTOTAL(109,tblCasa[Nov])</f>
        <v>0</v>
      </c>
      <c r="O21" s="59">
        <f>SUBTOTAL(109,tblCasa[Dic])</f>
        <v>0</v>
      </c>
      <c r="P21" s="59">
        <f>SUBTOTAL(109,tblCasa[Anno])</f>
        <v>2925</v>
      </c>
      <c r="Q21" s="22"/>
    </row>
    <row r="22" spans="1:18" ht="8.1" customHeight="1" x14ac:dyDescent="0.2">
      <c r="B22" s="3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8" ht="24" customHeight="1" x14ac:dyDescent="0.2">
      <c r="B23" s="26"/>
      <c r="C23" s="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8" ht="21" customHeight="1" x14ac:dyDescent="0.2">
      <c r="B24" s="42"/>
      <c r="C24" s="44" t="s">
        <v>14</v>
      </c>
      <c r="D24" s="18"/>
      <c r="E24" s="6"/>
      <c r="F24" s="18"/>
      <c r="G24" s="6"/>
      <c r="H24" s="18"/>
      <c r="I24" s="6"/>
      <c r="J24" s="18"/>
      <c r="K24" s="6"/>
      <c r="L24" s="18"/>
      <c r="M24" s="6"/>
      <c r="N24" s="18"/>
      <c r="O24" s="6"/>
      <c r="P24" s="18"/>
      <c r="Q24" s="6"/>
    </row>
    <row r="25" spans="1:18" ht="15.95" hidden="1" customHeight="1" x14ac:dyDescent="0.2">
      <c r="B25" s="42"/>
      <c r="C25" t="s">
        <v>15</v>
      </c>
      <c r="D25" t="s">
        <v>86</v>
      </c>
      <c r="E25" t="s">
        <v>88</v>
      </c>
      <c r="F25" t="s">
        <v>90</v>
      </c>
      <c r="G25" t="s">
        <v>92</v>
      </c>
      <c r="H25" t="s">
        <v>95</v>
      </c>
      <c r="I25" t="s">
        <v>97</v>
      </c>
      <c r="J25" t="s">
        <v>99</v>
      </c>
      <c r="K25" t="s">
        <v>101</v>
      </c>
      <c r="L25" t="s">
        <v>103</v>
      </c>
      <c r="M25" t="s">
        <v>105</v>
      </c>
      <c r="N25" t="s">
        <v>107</v>
      </c>
      <c r="O25" t="s">
        <v>109</v>
      </c>
      <c r="P25" t="s">
        <v>111</v>
      </c>
      <c r="Q25" t="s">
        <v>113</v>
      </c>
    </row>
    <row r="26" spans="1:18" ht="15.95" customHeight="1" x14ac:dyDescent="0.2">
      <c r="B26" s="42"/>
      <c r="C26" s="30" t="s">
        <v>16</v>
      </c>
      <c r="D26" s="60">
        <v>191</v>
      </c>
      <c r="E26" s="61">
        <v>152</v>
      </c>
      <c r="F26" s="60">
        <v>145</v>
      </c>
      <c r="G26" s="61"/>
      <c r="H26" s="60"/>
      <c r="I26" s="61"/>
      <c r="J26" s="60"/>
      <c r="K26" s="61"/>
      <c r="L26" s="60"/>
      <c r="M26" s="61"/>
      <c r="N26" s="60"/>
      <c r="O26" s="61"/>
      <c r="P26" s="60">
        <f>SUM(tblQuotidiane[[#This Row],[Gen]:[Dic]])</f>
        <v>488</v>
      </c>
      <c r="Q26" s="62"/>
    </row>
    <row r="27" spans="1:18" ht="15.95" customHeight="1" x14ac:dyDescent="0.2">
      <c r="B27" s="42"/>
      <c r="C27" s="30" t="s">
        <v>17</v>
      </c>
      <c r="D27" s="60">
        <v>200</v>
      </c>
      <c r="E27" s="61">
        <v>200</v>
      </c>
      <c r="F27" s="60">
        <v>200</v>
      </c>
      <c r="G27" s="61"/>
      <c r="H27" s="60"/>
      <c r="I27" s="61"/>
      <c r="J27" s="60"/>
      <c r="K27" s="61"/>
      <c r="L27" s="60"/>
      <c r="M27" s="61"/>
      <c r="N27" s="60"/>
      <c r="O27" s="61"/>
      <c r="P27" s="60">
        <f>SUM(tblQuotidiane[[#This Row],[Gen]:[Dic]])</f>
        <v>600</v>
      </c>
      <c r="Q27" s="61"/>
    </row>
    <row r="28" spans="1:18" ht="15.95" customHeight="1" x14ac:dyDescent="0.2">
      <c r="B28" s="42"/>
      <c r="C28" s="30" t="s">
        <v>18</v>
      </c>
      <c r="D28" s="60">
        <v>20</v>
      </c>
      <c r="E28" s="61"/>
      <c r="F28" s="60">
        <v>20</v>
      </c>
      <c r="G28" s="61"/>
      <c r="H28" s="60"/>
      <c r="I28" s="61"/>
      <c r="J28" s="60"/>
      <c r="K28" s="61"/>
      <c r="L28" s="60"/>
      <c r="M28" s="61"/>
      <c r="N28" s="60"/>
      <c r="O28" s="61"/>
      <c r="P28" s="60">
        <f>SUM(tblQuotidiane[[#This Row],[Gen]:[Dic]])</f>
        <v>40</v>
      </c>
      <c r="Q28" s="62"/>
    </row>
    <row r="29" spans="1:18" ht="15.95" customHeight="1" x14ac:dyDescent="0.2">
      <c r="B29" s="42"/>
      <c r="C29" s="30" t="s">
        <v>19</v>
      </c>
      <c r="D29" s="60">
        <v>55</v>
      </c>
      <c r="E29" s="61"/>
      <c r="F29" s="60">
        <v>56</v>
      </c>
      <c r="G29" s="61"/>
      <c r="H29" s="60"/>
      <c r="I29" s="61"/>
      <c r="J29" s="60"/>
      <c r="K29" s="61"/>
      <c r="L29" s="60"/>
      <c r="M29" s="61"/>
      <c r="N29" s="60"/>
      <c r="O29" s="61"/>
      <c r="P29" s="60">
        <f>SUM(tblQuotidiane[[#This Row],[Gen]:[Dic]])</f>
        <v>111</v>
      </c>
      <c r="Q29" s="61"/>
    </row>
    <row r="30" spans="1:18" s="14" customFormat="1" ht="15.95" customHeight="1" x14ac:dyDescent="0.2">
      <c r="A30" s="2"/>
      <c r="B30" s="42"/>
      <c r="C30" s="30" t="s">
        <v>20</v>
      </c>
      <c r="D30" s="60">
        <v>25</v>
      </c>
      <c r="E30" s="61">
        <v>17</v>
      </c>
      <c r="F30" s="60">
        <v>7</v>
      </c>
      <c r="G30" s="61"/>
      <c r="H30" s="60"/>
      <c r="I30" s="61"/>
      <c r="J30" s="60"/>
      <c r="K30" s="61"/>
      <c r="L30" s="60"/>
      <c r="M30" s="61"/>
      <c r="N30" s="60"/>
      <c r="O30" s="61"/>
      <c r="P30" s="60">
        <f>SUM(tblQuotidiane[[#This Row],[Gen]:[Dic]])</f>
        <v>49</v>
      </c>
      <c r="Q30" s="62"/>
    </row>
    <row r="31" spans="1:18" s="14" customFormat="1" ht="19.5" customHeight="1" x14ac:dyDescent="0.2">
      <c r="B31" s="42"/>
      <c r="C31" s="30" t="s">
        <v>21</v>
      </c>
      <c r="D31" s="60">
        <v>10</v>
      </c>
      <c r="E31" s="61">
        <v>5</v>
      </c>
      <c r="F31" s="60">
        <v>7</v>
      </c>
      <c r="G31" s="61"/>
      <c r="H31" s="60"/>
      <c r="I31" s="61"/>
      <c r="J31" s="60"/>
      <c r="K31" s="61"/>
      <c r="L31" s="60"/>
      <c r="M31" s="61"/>
      <c r="N31" s="60"/>
      <c r="O31" s="61"/>
      <c r="P31" s="60">
        <f>SUM(tblQuotidiane[[#This Row],[Gen]:[Dic]])</f>
        <v>22</v>
      </c>
      <c r="Q31" s="61"/>
    </row>
    <row r="32" spans="1:18" ht="21" customHeight="1" x14ac:dyDescent="0.2">
      <c r="B32" s="42"/>
      <c r="C32" s="29" t="s">
        <v>5</v>
      </c>
      <c r="D32" s="63">
        <f>SUBTOTAL(109,tblQuotidiane[Gen])</f>
        <v>501</v>
      </c>
      <c r="E32" s="62">
        <f>SUBTOTAL(109,tblQuotidiane[Feb])</f>
        <v>374</v>
      </c>
      <c r="F32" s="63">
        <f>SUBTOTAL(109,tblQuotidiane[Marzo])</f>
        <v>435</v>
      </c>
      <c r="G32" s="62">
        <f>SUBTOTAL(109,tblQuotidiane[Aprile])</f>
        <v>0</v>
      </c>
      <c r="H32" s="63">
        <f>SUBTOTAL(109,tblQuotidiane[Mag])</f>
        <v>0</v>
      </c>
      <c r="I32" s="62">
        <f>SUBTOTAL(109,tblQuotidiane[Giugno])</f>
        <v>0</v>
      </c>
      <c r="J32" s="63">
        <f>SUBTOTAL(109,tblQuotidiane[Luglio])</f>
        <v>0</v>
      </c>
      <c r="K32" s="62">
        <f>SUBTOTAL(109,tblQuotidiane[Ago])</f>
        <v>0</v>
      </c>
      <c r="L32" s="63">
        <f>SUBTOTAL(109,tblQuotidiane[Set])</f>
        <v>0</v>
      </c>
      <c r="M32" s="62">
        <f>SUBTOTAL(109,tblQuotidiane[Ott])</f>
        <v>0</v>
      </c>
      <c r="N32" s="63">
        <f>SUBTOTAL(109,tblQuotidiane[Nov])</f>
        <v>0</v>
      </c>
      <c r="O32" s="62">
        <f>SUBTOTAL(109,tblQuotidiane[Dic])</f>
        <v>0</v>
      </c>
      <c r="P32" s="63">
        <f>SUBTOTAL(109,tblQuotidiane[Anno])</f>
        <v>1310</v>
      </c>
      <c r="Q32" s="16"/>
    </row>
    <row r="33" spans="1:17" ht="8.1" customHeight="1" x14ac:dyDescent="0.2">
      <c r="B33" s="4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1:17" ht="20.100000000000001" customHeight="1" x14ac:dyDescent="0.2">
      <c r="B34" s="2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t="21" customHeight="1" x14ac:dyDescent="0.2">
      <c r="B35" s="42"/>
      <c r="C35" s="27" t="s">
        <v>22</v>
      </c>
      <c r="D35" s="18"/>
      <c r="E35" s="6"/>
      <c r="F35" s="18"/>
      <c r="G35" s="6"/>
      <c r="H35" s="18"/>
      <c r="I35" s="6"/>
      <c r="J35" s="18"/>
      <c r="K35" s="6"/>
      <c r="L35" s="18"/>
      <c r="M35" s="6"/>
      <c r="N35" s="18"/>
      <c r="O35" s="6"/>
      <c r="P35" s="18"/>
      <c r="Q35" s="6"/>
    </row>
    <row r="36" spans="1:17" ht="15.95" hidden="1" customHeight="1" x14ac:dyDescent="0.2">
      <c r="B36" s="42"/>
      <c r="C36" t="s">
        <v>23</v>
      </c>
      <c r="D36" t="s">
        <v>86</v>
      </c>
      <c r="E36" t="s">
        <v>88</v>
      </c>
      <c r="F36" t="s">
        <v>90</v>
      </c>
      <c r="G36" t="s">
        <v>92</v>
      </c>
      <c r="H36" t="s">
        <v>95</v>
      </c>
      <c r="I36" t="s">
        <v>97</v>
      </c>
      <c r="J36" t="s">
        <v>99</v>
      </c>
      <c r="K36" t="s">
        <v>101</v>
      </c>
      <c r="L36" t="s">
        <v>103</v>
      </c>
      <c r="M36" t="s">
        <v>105</v>
      </c>
      <c r="N36" t="s">
        <v>107</v>
      </c>
      <c r="O36" t="s">
        <v>109</v>
      </c>
      <c r="P36" t="s">
        <v>111</v>
      </c>
      <c r="Q36" t="s">
        <v>113</v>
      </c>
    </row>
    <row r="37" spans="1:17" ht="15.95" customHeight="1" x14ac:dyDescent="0.2">
      <c r="B37" s="42"/>
      <c r="C37" s="7" t="s">
        <v>24</v>
      </c>
      <c r="D37" s="60">
        <v>195</v>
      </c>
      <c r="E37" s="64">
        <v>125</v>
      </c>
      <c r="F37" s="60">
        <v>171</v>
      </c>
      <c r="G37" s="64"/>
      <c r="H37" s="60"/>
      <c r="I37" s="64"/>
      <c r="J37" s="60"/>
      <c r="K37" s="64"/>
      <c r="L37" s="60"/>
      <c r="M37" s="64"/>
      <c r="N37" s="60"/>
      <c r="O37" s="64"/>
      <c r="P37" s="60">
        <f>SUM(tblTransporti[[#This Row],[Gen]:[Dic]])</f>
        <v>491</v>
      </c>
      <c r="Q37" s="62"/>
    </row>
    <row r="38" spans="1:17" ht="15.95" customHeight="1" x14ac:dyDescent="0.2">
      <c r="B38" s="42"/>
      <c r="C38" s="7" t="s">
        <v>10</v>
      </c>
      <c r="D38" s="60">
        <v>165</v>
      </c>
      <c r="E38" s="64">
        <v>165</v>
      </c>
      <c r="F38" s="60">
        <v>165</v>
      </c>
      <c r="G38" s="64"/>
      <c r="H38" s="60"/>
      <c r="I38" s="64"/>
      <c r="J38" s="60"/>
      <c r="K38" s="64"/>
      <c r="L38" s="60"/>
      <c r="M38" s="64"/>
      <c r="N38" s="60"/>
      <c r="O38" s="64"/>
      <c r="P38" s="60">
        <f>SUM(tblTransporti[[#This Row],[Gen]:[Dic]])</f>
        <v>495</v>
      </c>
      <c r="Q38" s="64"/>
    </row>
    <row r="39" spans="1:17" ht="15.95" customHeight="1" x14ac:dyDescent="0.2">
      <c r="B39" s="42"/>
      <c r="C39" s="7" t="s">
        <v>11</v>
      </c>
      <c r="D39" s="60"/>
      <c r="E39" s="64"/>
      <c r="F39" s="60"/>
      <c r="G39" s="64"/>
      <c r="H39" s="60"/>
      <c r="I39" s="64"/>
      <c r="J39" s="60"/>
      <c r="K39" s="64"/>
      <c r="L39" s="60"/>
      <c r="M39" s="64"/>
      <c r="N39" s="60"/>
      <c r="O39" s="64"/>
      <c r="P39" s="60">
        <f>SUM(tblTransporti[[#This Row],[Gen]:[Dic]])</f>
        <v>0</v>
      </c>
      <c r="Q39" s="62"/>
    </row>
    <row r="40" spans="1:17" s="14" customFormat="1" ht="15.95" customHeight="1" x14ac:dyDescent="0.2">
      <c r="A40" s="2"/>
      <c r="B40" s="42"/>
      <c r="C40" s="7" t="s">
        <v>25</v>
      </c>
      <c r="D40" s="60">
        <v>10</v>
      </c>
      <c r="E40" s="64"/>
      <c r="F40" s="60"/>
      <c r="G40" s="64"/>
      <c r="H40" s="60"/>
      <c r="I40" s="64"/>
      <c r="J40" s="60"/>
      <c r="K40" s="64"/>
      <c r="L40" s="60"/>
      <c r="M40" s="64"/>
      <c r="N40" s="60"/>
      <c r="O40" s="64"/>
      <c r="P40" s="60">
        <f>SUM(tblTransporti[[#This Row],[Gen]:[Dic]])</f>
        <v>10</v>
      </c>
      <c r="Q40" s="64"/>
    </row>
    <row r="41" spans="1:17" s="14" customFormat="1" ht="15.95" customHeight="1" x14ac:dyDescent="0.2">
      <c r="B41" s="42"/>
      <c r="C41" s="7" t="s">
        <v>26</v>
      </c>
      <c r="D41" s="60">
        <v>10</v>
      </c>
      <c r="E41" s="64">
        <v>40</v>
      </c>
      <c r="F41" s="60">
        <v>20</v>
      </c>
      <c r="G41" s="64"/>
      <c r="H41" s="60"/>
      <c r="I41" s="64"/>
      <c r="J41" s="60"/>
      <c r="K41" s="64"/>
      <c r="L41" s="60"/>
      <c r="M41" s="64"/>
      <c r="N41" s="60"/>
      <c r="O41" s="64"/>
      <c r="P41" s="60">
        <f>SUM(tblTransporti[[#This Row],[Gen]:[Dic]])</f>
        <v>70</v>
      </c>
      <c r="Q41" s="62"/>
    </row>
    <row r="42" spans="1:17" ht="15.95" customHeight="1" x14ac:dyDescent="0.2">
      <c r="B42" s="42"/>
      <c r="C42" s="7" t="s">
        <v>27</v>
      </c>
      <c r="D42" s="60">
        <v>20</v>
      </c>
      <c r="E42" s="64">
        <v>40</v>
      </c>
      <c r="F42" s="60">
        <v>30</v>
      </c>
      <c r="G42" s="64"/>
      <c r="H42" s="60"/>
      <c r="I42" s="64"/>
      <c r="J42" s="60"/>
      <c r="K42" s="64"/>
      <c r="L42" s="60"/>
      <c r="M42" s="64"/>
      <c r="N42" s="60"/>
      <c r="O42" s="64"/>
      <c r="P42" s="60">
        <f>SUM(tblTransporti[[#This Row],[Gen]:[Dic]])</f>
        <v>90</v>
      </c>
      <c r="Q42" s="64"/>
    </row>
    <row r="43" spans="1:17" ht="21" customHeight="1" x14ac:dyDescent="0.2">
      <c r="B43" s="42"/>
      <c r="C43" s="29" t="s">
        <v>5</v>
      </c>
      <c r="D43" s="63">
        <f>SUBTOTAL(109,tblTransporti[Gen])</f>
        <v>400</v>
      </c>
      <c r="E43" s="62">
        <f>SUBTOTAL(109,tblTransporti[Feb])</f>
        <v>370</v>
      </c>
      <c r="F43" s="63">
        <f>SUBTOTAL(109,tblTransporti[Marzo])</f>
        <v>386</v>
      </c>
      <c r="G43" s="62">
        <f>SUBTOTAL(109,tblTransporti[Aprile])</f>
        <v>0</v>
      </c>
      <c r="H43" s="63">
        <f>SUBTOTAL(109,tblTransporti[Mag])</f>
        <v>0</v>
      </c>
      <c r="I43" s="62">
        <f>SUBTOTAL(109,tblTransporti[Giugno])</f>
        <v>0</v>
      </c>
      <c r="J43" s="63">
        <f>SUBTOTAL(109,tblTransporti[Luglio])</f>
        <v>0</v>
      </c>
      <c r="K43" s="62">
        <f>SUBTOTAL(109,tblTransporti[Ago])</f>
        <v>0</v>
      </c>
      <c r="L43" s="63">
        <f>SUBTOTAL(109,tblTransporti[Set])</f>
        <v>0</v>
      </c>
      <c r="M43" s="62">
        <f>SUBTOTAL(109,tblTransporti[Ott])</f>
        <v>0</v>
      </c>
      <c r="N43" s="63">
        <f>SUBTOTAL(109,tblTransporti[Nov])</f>
        <v>0</v>
      </c>
      <c r="O43" s="62">
        <f>SUBTOTAL(109,tblTransporti[Dic])</f>
        <v>0</v>
      </c>
      <c r="P43" s="63">
        <f>SUBTOTAL(109,tblTransporti[Anno])</f>
        <v>1156</v>
      </c>
      <c r="Q43" s="16"/>
    </row>
    <row r="44" spans="1:17" ht="8.1" customHeight="1" x14ac:dyDescent="0.2">
      <c r="B44" s="4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20.100000000000001" customHeight="1" x14ac:dyDescent="0.2">
      <c r="B45" s="2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17" ht="21" customHeight="1" x14ac:dyDescent="0.2">
      <c r="B46" s="43"/>
      <c r="C46" s="32" t="s">
        <v>28</v>
      </c>
      <c r="D46" s="17"/>
      <c r="E46" s="6"/>
      <c r="F46" s="17"/>
      <c r="G46" s="6"/>
      <c r="H46" s="17"/>
      <c r="I46" s="6"/>
      <c r="J46" s="17"/>
      <c r="K46" s="6"/>
      <c r="L46" s="17"/>
      <c r="M46" s="6"/>
      <c r="N46" s="17"/>
      <c r="O46" s="6"/>
      <c r="P46" s="17"/>
      <c r="Q46" s="6"/>
    </row>
    <row r="47" spans="1:17" ht="21" hidden="1" customHeight="1" x14ac:dyDescent="0.2">
      <c r="B47" s="43"/>
      <c r="C47" t="s">
        <v>29</v>
      </c>
      <c r="D47" t="s">
        <v>86</v>
      </c>
      <c r="E47" t="s">
        <v>88</v>
      </c>
      <c r="F47" t="s">
        <v>90</v>
      </c>
      <c r="G47" t="s">
        <v>92</v>
      </c>
      <c r="H47" t="s">
        <v>95</v>
      </c>
      <c r="I47" t="s">
        <v>97</v>
      </c>
      <c r="J47" t="s">
        <v>99</v>
      </c>
      <c r="K47" t="s">
        <v>101</v>
      </c>
      <c r="L47" t="s">
        <v>103</v>
      </c>
      <c r="M47" t="s">
        <v>105</v>
      </c>
      <c r="N47" t="s">
        <v>107</v>
      </c>
      <c r="O47" t="s">
        <v>109</v>
      </c>
      <c r="P47" t="s">
        <v>111</v>
      </c>
      <c r="Q47" t="s">
        <v>113</v>
      </c>
    </row>
    <row r="48" spans="1:17" s="14" customFormat="1" ht="15.95" customHeight="1" x14ac:dyDescent="0.2">
      <c r="A48" s="2"/>
      <c r="B48" s="43"/>
      <c r="C48" s="7" t="s">
        <v>30</v>
      </c>
      <c r="D48" s="65">
        <v>85</v>
      </c>
      <c r="E48" s="64">
        <v>85</v>
      </c>
      <c r="F48" s="65">
        <v>85</v>
      </c>
      <c r="G48" s="64"/>
      <c r="H48" s="65"/>
      <c r="I48" s="64"/>
      <c r="J48" s="65"/>
      <c r="K48" s="64"/>
      <c r="L48" s="65"/>
      <c r="M48" s="64"/>
      <c r="N48" s="65"/>
      <c r="O48" s="64"/>
      <c r="P48" s="65">
        <f>SUM(tblSvago[[#This Row],[Gen]:[Dic]])</f>
        <v>255</v>
      </c>
      <c r="Q48" s="62"/>
    </row>
    <row r="49" spans="1:17" s="14" customFormat="1" ht="15.95" customHeight="1" x14ac:dyDescent="0.2">
      <c r="B49" s="43"/>
      <c r="C49" s="7" t="s">
        <v>31</v>
      </c>
      <c r="D49" s="65">
        <v>7</v>
      </c>
      <c r="E49" s="64">
        <v>8</v>
      </c>
      <c r="F49" s="65">
        <v>9</v>
      </c>
      <c r="G49" s="64"/>
      <c r="H49" s="65"/>
      <c r="I49" s="64"/>
      <c r="J49" s="65"/>
      <c r="K49" s="64"/>
      <c r="L49" s="65"/>
      <c r="M49" s="64"/>
      <c r="N49" s="65"/>
      <c r="O49" s="64"/>
      <c r="P49" s="65">
        <f>SUM(tblSvago[[#This Row],[Gen]:[Dic]])</f>
        <v>24</v>
      </c>
      <c r="Q49" s="64"/>
    </row>
    <row r="50" spans="1:17" ht="15.95" customHeight="1" x14ac:dyDescent="0.2">
      <c r="B50" s="43"/>
      <c r="C50" s="7" t="s">
        <v>32</v>
      </c>
      <c r="D50" s="65">
        <v>9</v>
      </c>
      <c r="E50" s="64">
        <v>5</v>
      </c>
      <c r="F50" s="65">
        <v>9</v>
      </c>
      <c r="G50" s="64"/>
      <c r="H50" s="65"/>
      <c r="I50" s="64"/>
      <c r="J50" s="65"/>
      <c r="K50" s="64"/>
      <c r="L50" s="65"/>
      <c r="M50" s="64"/>
      <c r="N50" s="65"/>
      <c r="O50" s="64"/>
      <c r="P50" s="65">
        <f>SUM(tblSvago[[#This Row],[Gen]:[Dic]])</f>
        <v>23</v>
      </c>
      <c r="Q50" s="62"/>
    </row>
    <row r="51" spans="1:17" ht="15.95" customHeight="1" x14ac:dyDescent="0.2">
      <c r="B51" s="43"/>
      <c r="C51" s="7" t="s">
        <v>33</v>
      </c>
      <c r="D51" s="65">
        <v>5</v>
      </c>
      <c r="E51" s="64">
        <v>5</v>
      </c>
      <c r="F51" s="65">
        <v>7</v>
      </c>
      <c r="G51" s="64"/>
      <c r="H51" s="65"/>
      <c r="I51" s="64"/>
      <c r="J51" s="65"/>
      <c r="K51" s="64"/>
      <c r="L51" s="65"/>
      <c r="M51" s="64"/>
      <c r="N51" s="65"/>
      <c r="O51" s="64"/>
      <c r="P51" s="65">
        <f>SUM(tblSvago[[#This Row],[Gen]:[Dic]])</f>
        <v>17</v>
      </c>
      <c r="Q51" s="64"/>
    </row>
    <row r="52" spans="1:17" ht="21" customHeight="1" x14ac:dyDescent="0.2">
      <c r="B52" s="26"/>
      <c r="C52" s="46" t="s">
        <v>5</v>
      </c>
      <c r="D52" s="66">
        <f>SUBTOTAL(109,tblSvago[Gen])</f>
        <v>106</v>
      </c>
      <c r="E52" s="62">
        <f>SUBTOTAL(109,tblSvago[Feb])</f>
        <v>103</v>
      </c>
      <c r="F52" s="66">
        <f>SUBTOTAL(109,tblSvago[Marzo])</f>
        <v>110</v>
      </c>
      <c r="G52" s="62">
        <f>SUBTOTAL(109,tblSvago[Aprile])</f>
        <v>0</v>
      </c>
      <c r="H52" s="66">
        <f>SUBTOTAL(109,tblSvago[Mag])</f>
        <v>0</v>
      </c>
      <c r="I52" s="62">
        <f>SUBTOTAL(109,tblSvago[Giugno])</f>
        <v>0</v>
      </c>
      <c r="J52" s="66">
        <f>SUBTOTAL(109,tblSvago[Luglio])</f>
        <v>0</v>
      </c>
      <c r="K52" s="62">
        <f>SUBTOTAL(109,tblSvago[Ago])</f>
        <v>0</v>
      </c>
      <c r="L52" s="66">
        <f>SUBTOTAL(109,tblSvago[Set])</f>
        <v>0</v>
      </c>
      <c r="M52" s="62">
        <f>SUBTOTAL(109,tblSvago[Ott])</f>
        <v>0</v>
      </c>
      <c r="N52" s="66">
        <f>SUBTOTAL(109,tblSvago[Nov])</f>
        <v>0</v>
      </c>
      <c r="O52" s="62">
        <f>SUBTOTAL(109,tblSvago[Dic])</f>
        <v>0</v>
      </c>
      <c r="P52" s="66">
        <f>SUBTOTAL(109,tblSvago[Anno])</f>
        <v>319</v>
      </c>
      <c r="Q52" s="16"/>
    </row>
    <row r="53" spans="1:17" ht="8.1" customHeight="1" x14ac:dyDescent="0.2">
      <c r="B53" s="43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20.100000000000001" customHeight="1" x14ac:dyDescent="0.2">
      <c r="B54" s="2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  <row r="55" spans="1:17" ht="21" customHeight="1" x14ac:dyDescent="0.2">
      <c r="B55" s="43"/>
      <c r="C55" s="32" t="s">
        <v>34</v>
      </c>
      <c r="D55" s="17"/>
      <c r="E55" s="6"/>
      <c r="F55" s="17"/>
      <c r="G55" s="6"/>
      <c r="H55" s="17"/>
      <c r="I55" s="6"/>
      <c r="J55" s="17"/>
      <c r="K55" s="6"/>
      <c r="L55" s="17"/>
      <c r="M55" s="6"/>
      <c r="N55" s="17"/>
      <c r="O55" s="6"/>
      <c r="P55" s="17"/>
      <c r="Q55" s="6"/>
    </row>
    <row r="56" spans="1:17" ht="15.95" hidden="1" customHeight="1" x14ac:dyDescent="0.2">
      <c r="B56" s="43"/>
      <c r="C56" t="s">
        <v>35</v>
      </c>
      <c r="D56" t="s">
        <v>86</v>
      </c>
      <c r="E56" t="s">
        <v>88</v>
      </c>
      <c r="F56" t="s">
        <v>90</v>
      </c>
      <c r="G56" t="s">
        <v>92</v>
      </c>
      <c r="H56" t="s">
        <v>95</v>
      </c>
      <c r="I56" t="s">
        <v>97</v>
      </c>
      <c r="J56" t="s">
        <v>99</v>
      </c>
      <c r="K56" t="s">
        <v>101</v>
      </c>
      <c r="L56" t="s">
        <v>103</v>
      </c>
      <c r="M56" t="s">
        <v>105</v>
      </c>
      <c r="N56" t="s">
        <v>107</v>
      </c>
      <c r="O56" t="s">
        <v>109</v>
      </c>
      <c r="P56" t="s">
        <v>111</v>
      </c>
      <c r="Q56" t="s">
        <v>113</v>
      </c>
    </row>
    <row r="57" spans="1:17" ht="15.95" customHeight="1" x14ac:dyDescent="0.2">
      <c r="B57" s="43"/>
      <c r="C57" s="7" t="s">
        <v>36</v>
      </c>
      <c r="D57" s="65">
        <v>50</v>
      </c>
      <c r="E57" s="64">
        <v>50</v>
      </c>
      <c r="F57" s="65">
        <v>50</v>
      </c>
      <c r="G57" s="64"/>
      <c r="H57" s="65"/>
      <c r="I57" s="64"/>
      <c r="J57" s="65"/>
      <c r="K57" s="64"/>
      <c r="L57" s="65"/>
      <c r="M57" s="64"/>
      <c r="N57" s="65"/>
      <c r="O57" s="64"/>
      <c r="P57" s="65">
        <f>SUM(tblSalute[[#This Row],[Gen]:[Dic]])</f>
        <v>150</v>
      </c>
      <c r="Q57" s="64"/>
    </row>
    <row r="58" spans="1:17" ht="15.95" customHeight="1" x14ac:dyDescent="0.2">
      <c r="B58" s="43"/>
      <c r="C58" s="7" t="s">
        <v>10</v>
      </c>
      <c r="D58" s="65">
        <v>225</v>
      </c>
      <c r="E58" s="64">
        <v>225</v>
      </c>
      <c r="F58" s="65">
        <v>225</v>
      </c>
      <c r="G58" s="64"/>
      <c r="H58" s="65"/>
      <c r="I58" s="64"/>
      <c r="J58" s="65"/>
      <c r="K58" s="64"/>
      <c r="L58" s="65"/>
      <c r="M58" s="64"/>
      <c r="N58" s="65"/>
      <c r="O58" s="64"/>
      <c r="P58" s="65">
        <f>SUM(tblSalute[[#This Row],[Gen]:[Dic]])</f>
        <v>675</v>
      </c>
      <c r="Q58" s="62"/>
    </row>
    <row r="59" spans="1:17" s="14" customFormat="1" ht="15.95" customHeight="1" x14ac:dyDescent="0.2">
      <c r="A59" s="2"/>
      <c r="B59" s="43"/>
      <c r="C59" s="7" t="s">
        <v>37</v>
      </c>
      <c r="D59" s="65">
        <v>100</v>
      </c>
      <c r="E59" s="64">
        <v>100</v>
      </c>
      <c r="F59" s="65">
        <v>100</v>
      </c>
      <c r="G59" s="64"/>
      <c r="H59" s="65"/>
      <c r="I59" s="64"/>
      <c r="J59" s="65"/>
      <c r="K59" s="64"/>
      <c r="L59" s="65"/>
      <c r="M59" s="64"/>
      <c r="N59" s="65"/>
      <c r="O59" s="64"/>
      <c r="P59" s="65">
        <f>SUM(tblSalute[[#This Row],[Gen]:[Dic]])</f>
        <v>300</v>
      </c>
      <c r="Q59" s="64"/>
    </row>
    <row r="60" spans="1:17" s="14" customFormat="1" ht="15.95" customHeight="1" x14ac:dyDescent="0.2">
      <c r="C60" s="47" t="s">
        <v>38</v>
      </c>
      <c r="D60" s="65">
        <v>6</v>
      </c>
      <c r="E60" s="64">
        <v>2</v>
      </c>
      <c r="F60" s="65">
        <v>9</v>
      </c>
      <c r="G60" s="64"/>
      <c r="H60" s="65"/>
      <c r="I60" s="64"/>
      <c r="J60" s="65"/>
      <c r="K60" s="64"/>
      <c r="L60" s="65"/>
      <c r="M60" s="64"/>
      <c r="N60" s="65"/>
      <c r="O60" s="64"/>
      <c r="P60" s="65">
        <f>SUM(tblSalute[[#This Row],[Gen]:[Dic]])</f>
        <v>17</v>
      </c>
      <c r="Q60" s="62"/>
    </row>
    <row r="61" spans="1:17" ht="15.95" customHeight="1" x14ac:dyDescent="0.2">
      <c r="B61" s="43"/>
      <c r="C61" s="47" t="s">
        <v>39</v>
      </c>
      <c r="D61" s="65">
        <v>20</v>
      </c>
      <c r="E61" s="64"/>
      <c r="F61" s="65">
        <v>41</v>
      </c>
      <c r="G61" s="64"/>
      <c r="H61" s="65"/>
      <c r="I61" s="64"/>
      <c r="J61" s="65"/>
      <c r="K61" s="64"/>
      <c r="L61" s="65"/>
      <c r="M61" s="64"/>
      <c r="N61" s="65"/>
      <c r="O61" s="64"/>
      <c r="P61" s="65">
        <f>SUM(tblSalute[[#This Row],[Gen]:[Dic]])</f>
        <v>61</v>
      </c>
      <c r="Q61" s="64"/>
    </row>
    <row r="62" spans="1:17" ht="15.95" customHeight="1" x14ac:dyDescent="0.2">
      <c r="B62" s="43"/>
      <c r="C62" s="7" t="s">
        <v>40</v>
      </c>
      <c r="D62" s="65">
        <v>4</v>
      </c>
      <c r="E62" s="64"/>
      <c r="F62" s="65">
        <v>25</v>
      </c>
      <c r="G62" s="64"/>
      <c r="H62" s="65"/>
      <c r="I62" s="64"/>
      <c r="J62" s="65"/>
      <c r="K62" s="64"/>
      <c r="L62" s="65"/>
      <c r="M62" s="64"/>
      <c r="N62" s="65"/>
      <c r="O62" s="64"/>
      <c r="P62" s="65">
        <f>SUM(tblSalute[[#This Row],[Gen]:[Dic]])</f>
        <v>29</v>
      </c>
      <c r="Q62" s="62"/>
    </row>
    <row r="63" spans="1:17" ht="15.95" customHeight="1" x14ac:dyDescent="0.2">
      <c r="B63" s="43"/>
      <c r="C63" s="7" t="s">
        <v>41</v>
      </c>
      <c r="D63" s="65">
        <v>55</v>
      </c>
      <c r="E63" s="64">
        <v>55</v>
      </c>
      <c r="F63" s="65">
        <v>55</v>
      </c>
      <c r="G63" s="64"/>
      <c r="H63" s="65"/>
      <c r="I63" s="64"/>
      <c r="J63" s="65"/>
      <c r="K63" s="64"/>
      <c r="L63" s="65"/>
      <c r="M63" s="64"/>
      <c r="N63" s="65"/>
      <c r="O63" s="64"/>
      <c r="P63" s="65">
        <f>SUM(tblSalute[[#This Row],[Gen]:[Dic]])</f>
        <v>165</v>
      </c>
      <c r="Q63" s="64"/>
    </row>
    <row r="64" spans="1:17" ht="21" customHeight="1" x14ac:dyDescent="0.2">
      <c r="B64" s="43"/>
      <c r="C64" s="29" t="s">
        <v>5</v>
      </c>
      <c r="D64" s="66">
        <f>SUBTOTAL(109,tblSalute[Gen])</f>
        <v>460</v>
      </c>
      <c r="E64" s="62">
        <f>SUBTOTAL(109,tblSalute[Feb])</f>
        <v>432</v>
      </c>
      <c r="F64" s="66">
        <f>SUBTOTAL(109,tblSalute[Marzo])</f>
        <v>505</v>
      </c>
      <c r="G64" s="62">
        <f>SUBTOTAL(109,tblSalute[Aprile])</f>
        <v>0</v>
      </c>
      <c r="H64" s="66">
        <f>SUBTOTAL(109,tblSalute[Mag])</f>
        <v>0</v>
      </c>
      <c r="I64" s="62">
        <f>SUBTOTAL(109,tblSalute[Giugno])</f>
        <v>0</v>
      </c>
      <c r="J64" s="66">
        <f>SUBTOTAL(109,tblSalute[Luglio])</f>
        <v>0</v>
      </c>
      <c r="K64" s="62">
        <f>SUBTOTAL(109,tblSalute[Ago])</f>
        <v>0</v>
      </c>
      <c r="L64" s="66">
        <f>SUBTOTAL(109,tblSalute[Set])</f>
        <v>0</v>
      </c>
      <c r="M64" s="62">
        <f>SUBTOTAL(109,tblSalute[Ott])</f>
        <v>0</v>
      </c>
      <c r="N64" s="66">
        <f>SUBTOTAL(109,tblSalute[Nov])</f>
        <v>0</v>
      </c>
      <c r="O64" s="62">
        <f>SUBTOTAL(109,tblSalute[Dic])</f>
        <v>0</v>
      </c>
      <c r="P64" s="66">
        <f>SUBTOTAL(109,tblSalute[Anno])</f>
        <v>1397</v>
      </c>
      <c r="Q64" s="16"/>
    </row>
    <row r="65" spans="1:17" ht="8.1" customHeight="1" x14ac:dyDescent="0.2">
      <c r="B65" s="26"/>
      <c r="C65" s="73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</row>
    <row r="66" spans="1:17" ht="20.100000000000001" customHeight="1" x14ac:dyDescent="0.2">
      <c r="B66" s="2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1:17" ht="21" customHeight="1" x14ac:dyDescent="0.2">
      <c r="B67" s="42"/>
      <c r="C67" s="27" t="s">
        <v>42</v>
      </c>
      <c r="D67" s="18"/>
      <c r="E67" s="6"/>
      <c r="F67" s="18"/>
      <c r="G67" s="6"/>
      <c r="H67" s="18"/>
      <c r="I67" s="6"/>
      <c r="J67" s="18"/>
      <c r="K67" s="6"/>
      <c r="L67" s="18"/>
      <c r="M67" s="6"/>
      <c r="N67" s="18"/>
      <c r="O67" s="6"/>
      <c r="P67" s="18"/>
      <c r="Q67" s="6"/>
    </row>
    <row r="68" spans="1:17" ht="21" hidden="1" customHeight="1" x14ac:dyDescent="0.2">
      <c r="B68" s="42"/>
      <c r="C68" t="s">
        <v>43</v>
      </c>
      <c r="D68" t="s">
        <v>86</v>
      </c>
      <c r="E68" t="s">
        <v>88</v>
      </c>
      <c r="F68" t="s">
        <v>90</v>
      </c>
      <c r="G68" t="s">
        <v>92</v>
      </c>
      <c r="H68" t="s">
        <v>95</v>
      </c>
      <c r="I68" t="s">
        <v>97</v>
      </c>
      <c r="J68" t="s">
        <v>99</v>
      </c>
      <c r="K68" t="s">
        <v>101</v>
      </c>
      <c r="L68" t="s">
        <v>103</v>
      </c>
      <c r="M68" t="s">
        <v>105</v>
      </c>
      <c r="N68" t="s">
        <v>107</v>
      </c>
      <c r="O68" t="s">
        <v>109</v>
      </c>
      <c r="P68" t="s">
        <v>111</v>
      </c>
      <c r="Q68" t="s">
        <v>113</v>
      </c>
    </row>
    <row r="69" spans="1:17" s="14" customFormat="1" ht="15.95" customHeight="1" x14ac:dyDescent="0.2">
      <c r="A69" s="2"/>
      <c r="B69" s="42"/>
      <c r="C69" s="7" t="s">
        <v>44</v>
      </c>
      <c r="D69" s="60"/>
      <c r="E69" s="64">
        <v>485</v>
      </c>
      <c r="F69" s="60"/>
      <c r="G69" s="64"/>
      <c r="H69" s="60"/>
      <c r="I69" s="64"/>
      <c r="J69" s="60"/>
      <c r="K69" s="64"/>
      <c r="L69" s="60"/>
      <c r="M69" s="64"/>
      <c r="N69" s="60"/>
      <c r="O69" s="64"/>
      <c r="P69" s="60">
        <f>SUM(tblVacanze[[#This Row],[Gen]:[Dic]])</f>
        <v>485</v>
      </c>
      <c r="Q69" s="62"/>
    </row>
    <row r="70" spans="1:17" ht="15.95" customHeight="1" x14ac:dyDescent="0.2">
      <c r="C70" s="48" t="s">
        <v>45</v>
      </c>
      <c r="D70" s="60"/>
      <c r="E70" s="64">
        <v>245</v>
      </c>
      <c r="F70" s="60"/>
      <c r="G70" s="64"/>
      <c r="H70" s="60"/>
      <c r="I70" s="64"/>
      <c r="J70" s="60"/>
      <c r="K70" s="64"/>
      <c r="L70" s="60"/>
      <c r="M70" s="64"/>
      <c r="N70" s="60"/>
      <c r="O70" s="64"/>
      <c r="P70" s="60">
        <f>SUM(tblVacanze[[#This Row],[Gen]:[Dic]])</f>
        <v>245</v>
      </c>
      <c r="Q70" s="64"/>
    </row>
    <row r="71" spans="1:17" ht="15.95" customHeight="1" x14ac:dyDescent="0.2">
      <c r="B71" s="42"/>
      <c r="C71" s="7" t="s">
        <v>46</v>
      </c>
      <c r="D71" s="60"/>
      <c r="E71" s="64">
        <v>95</v>
      </c>
      <c r="F71" s="60"/>
      <c r="G71" s="64"/>
      <c r="H71" s="60"/>
      <c r="I71" s="64"/>
      <c r="J71" s="60"/>
      <c r="K71" s="64"/>
      <c r="L71" s="60"/>
      <c r="M71" s="64"/>
      <c r="N71" s="60"/>
      <c r="O71" s="64"/>
      <c r="P71" s="60">
        <f>SUM(tblVacanze[[#This Row],[Gen]:[Dic]])</f>
        <v>95</v>
      </c>
      <c r="Q71" s="62"/>
    </row>
    <row r="72" spans="1:17" ht="15.95" customHeight="1" x14ac:dyDescent="0.2">
      <c r="B72" s="42"/>
      <c r="C72" s="7" t="s">
        <v>47</v>
      </c>
      <c r="D72" s="60"/>
      <c r="E72" s="64"/>
      <c r="F72" s="60"/>
      <c r="G72" s="64"/>
      <c r="H72" s="60"/>
      <c r="I72" s="64"/>
      <c r="J72" s="60"/>
      <c r="K72" s="64"/>
      <c r="L72" s="60"/>
      <c r="M72" s="64"/>
      <c r="N72" s="60"/>
      <c r="O72" s="64"/>
      <c r="P72" s="60">
        <f>SUM(tblVacanze[[#This Row],[Gen]:[Dic]])</f>
        <v>0</v>
      </c>
      <c r="Q72" s="64"/>
    </row>
    <row r="73" spans="1:17" ht="15.95" customHeight="1" x14ac:dyDescent="0.2">
      <c r="B73" s="42"/>
      <c r="C73" s="7" t="s">
        <v>48</v>
      </c>
      <c r="D73" s="60"/>
      <c r="E73" s="64"/>
      <c r="F73" s="60"/>
      <c r="G73" s="64"/>
      <c r="H73" s="60"/>
      <c r="I73" s="64"/>
      <c r="J73" s="60"/>
      <c r="K73" s="64"/>
      <c r="L73" s="60"/>
      <c r="M73" s="64"/>
      <c r="N73" s="60"/>
      <c r="O73" s="64"/>
      <c r="P73" s="60">
        <f>SUM(tblVacanze[[#This Row],[Gen]:[Dic]])</f>
        <v>0</v>
      </c>
      <c r="Q73" s="62"/>
    </row>
    <row r="74" spans="1:17" ht="15.95" customHeight="1" x14ac:dyDescent="0.2">
      <c r="B74" s="42"/>
      <c r="C74" s="7" t="s">
        <v>49</v>
      </c>
      <c r="D74" s="60"/>
      <c r="E74" s="64">
        <v>85</v>
      </c>
      <c r="F74" s="60"/>
      <c r="G74" s="64"/>
      <c r="H74" s="60"/>
      <c r="I74" s="64"/>
      <c r="J74" s="60"/>
      <c r="K74" s="64"/>
      <c r="L74" s="60"/>
      <c r="M74" s="64"/>
      <c r="N74" s="60"/>
      <c r="O74" s="64"/>
      <c r="P74" s="60">
        <f>SUM(tblVacanze[[#This Row],[Gen]:[Dic]])</f>
        <v>85</v>
      </c>
      <c r="Q74" s="64"/>
    </row>
    <row r="75" spans="1:17" ht="21" customHeight="1" x14ac:dyDescent="0.2">
      <c r="B75" s="42"/>
      <c r="C75" s="29" t="s">
        <v>5</v>
      </c>
      <c r="D75" s="63">
        <f>SUBTOTAL(109,tblVacanze[Gen])</f>
        <v>0</v>
      </c>
      <c r="E75" s="62">
        <f>SUBTOTAL(109,tblVacanze[Feb])</f>
        <v>910</v>
      </c>
      <c r="F75" s="63">
        <f>SUBTOTAL(109,tblVacanze[Marzo])</f>
        <v>0</v>
      </c>
      <c r="G75" s="62">
        <f>SUBTOTAL(109,tblVacanze[Aprile])</f>
        <v>0</v>
      </c>
      <c r="H75" s="63">
        <f>SUBTOTAL(109,tblVacanze[Mag])</f>
        <v>0</v>
      </c>
      <c r="I75" s="62">
        <f>SUBTOTAL(109,tblVacanze[Giugno])</f>
        <v>0</v>
      </c>
      <c r="J75" s="63">
        <f>SUBTOTAL(109,tblVacanze[Luglio])</f>
        <v>0</v>
      </c>
      <c r="K75" s="62">
        <f>SUBTOTAL(109,tblVacanze[Ago])</f>
        <v>0</v>
      </c>
      <c r="L75" s="63">
        <f>SUBTOTAL(109,tblVacanze[Set])</f>
        <v>0</v>
      </c>
      <c r="M75" s="62">
        <f>SUBTOTAL(109,tblVacanze[Ott])</f>
        <v>0</v>
      </c>
      <c r="N75" s="63">
        <f>SUBTOTAL(109,tblVacanze[Nov])</f>
        <v>0</v>
      </c>
      <c r="O75" s="62">
        <f>SUBTOTAL(109,tblVacanze[Dic])</f>
        <v>0</v>
      </c>
      <c r="P75" s="63">
        <f>SUBTOTAL(109,tblVacanze[Anno])</f>
        <v>910</v>
      </c>
      <c r="Q75" s="16"/>
    </row>
    <row r="76" spans="1:17" ht="8.1" customHeight="1" x14ac:dyDescent="0.2">
      <c r="B76" s="26"/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</row>
    <row r="77" spans="1:17" s="14" customFormat="1" ht="20.100000000000001" customHeight="1" x14ac:dyDescent="0.2">
      <c r="A77" s="2"/>
      <c r="B77" s="2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</row>
    <row r="78" spans="1:17" ht="21" customHeight="1" x14ac:dyDescent="0.2">
      <c r="B78" s="42"/>
      <c r="C78" s="31" t="s">
        <v>50</v>
      </c>
      <c r="D78" s="18"/>
      <c r="E78" s="6"/>
      <c r="F78" s="18"/>
      <c r="G78" s="6"/>
      <c r="H78" s="18"/>
      <c r="I78" s="6"/>
      <c r="J78" s="18"/>
      <c r="K78" s="6"/>
      <c r="L78" s="18"/>
      <c r="M78" s="6"/>
      <c r="N78" s="18"/>
      <c r="O78" s="6"/>
      <c r="P78" s="18"/>
      <c r="Q78" s="6"/>
    </row>
    <row r="79" spans="1:17" ht="21" hidden="1" customHeight="1" x14ac:dyDescent="0.2">
      <c r="B79" s="42"/>
      <c r="C79" t="s">
        <v>51</v>
      </c>
      <c r="D79" t="s">
        <v>86</v>
      </c>
      <c r="E79" t="s">
        <v>88</v>
      </c>
      <c r="F79" t="s">
        <v>90</v>
      </c>
      <c r="G79" t="s">
        <v>92</v>
      </c>
      <c r="H79" t="s">
        <v>95</v>
      </c>
      <c r="I79" t="s">
        <v>97</v>
      </c>
      <c r="J79" t="s">
        <v>99</v>
      </c>
      <c r="K79" t="s">
        <v>101</v>
      </c>
      <c r="L79" t="s">
        <v>103</v>
      </c>
      <c r="M79" t="s">
        <v>105</v>
      </c>
      <c r="N79" t="s">
        <v>107</v>
      </c>
      <c r="O79" t="s">
        <v>109</v>
      </c>
      <c r="P79" t="s">
        <v>111</v>
      </c>
      <c r="Q79" t="s">
        <v>113</v>
      </c>
    </row>
    <row r="80" spans="1:17" ht="15.95" customHeight="1" x14ac:dyDescent="0.2">
      <c r="B80" s="42"/>
      <c r="C80" s="7" t="s">
        <v>52</v>
      </c>
      <c r="D80" s="60"/>
      <c r="E80" s="64"/>
      <c r="F80" s="60"/>
      <c r="G80" s="64"/>
      <c r="H80" s="60"/>
      <c r="I80" s="64"/>
      <c r="J80" s="60"/>
      <c r="K80" s="64"/>
      <c r="L80" s="60"/>
      <c r="M80" s="64"/>
      <c r="N80" s="60"/>
      <c r="O80" s="64"/>
      <c r="P80" s="60">
        <f>SUM(tblTempolibero[[#This Row],[Gen]:[Dic]])</f>
        <v>0</v>
      </c>
      <c r="Q80" s="62"/>
    </row>
    <row r="81" spans="1:17" ht="15.95" customHeight="1" x14ac:dyDescent="0.2">
      <c r="B81" s="42"/>
      <c r="C81" s="7" t="s">
        <v>53</v>
      </c>
      <c r="D81" s="60"/>
      <c r="E81" s="64"/>
      <c r="F81" s="60"/>
      <c r="G81" s="64"/>
      <c r="H81" s="60"/>
      <c r="I81" s="64"/>
      <c r="J81" s="60"/>
      <c r="K81" s="64"/>
      <c r="L81" s="60"/>
      <c r="M81" s="64"/>
      <c r="N81" s="60"/>
      <c r="O81" s="64"/>
      <c r="P81" s="60">
        <f>SUM(tblTempolibero[[#This Row],[Gen]:[Dic]])</f>
        <v>0</v>
      </c>
      <c r="Q81" s="64"/>
    </row>
    <row r="82" spans="1:17" ht="15.95" customHeight="1" x14ac:dyDescent="0.2">
      <c r="B82" s="42"/>
      <c r="C82" s="7" t="s">
        <v>54</v>
      </c>
      <c r="D82" s="60"/>
      <c r="E82" s="64"/>
      <c r="F82" s="60"/>
      <c r="G82" s="64"/>
      <c r="H82" s="60"/>
      <c r="I82" s="64"/>
      <c r="J82" s="60"/>
      <c r="K82" s="64"/>
      <c r="L82" s="60"/>
      <c r="M82" s="64"/>
      <c r="N82" s="60"/>
      <c r="O82" s="64"/>
      <c r="P82" s="60">
        <f>SUM(tblTempolibero[[#This Row],[Gen]:[Dic]])</f>
        <v>0</v>
      </c>
      <c r="Q82" s="62"/>
    </row>
    <row r="83" spans="1:17" ht="15.95" customHeight="1" x14ac:dyDescent="0.2">
      <c r="B83" s="42"/>
      <c r="C83" s="7" t="s">
        <v>55</v>
      </c>
      <c r="D83" s="60">
        <v>39</v>
      </c>
      <c r="E83" s="64">
        <v>33</v>
      </c>
      <c r="F83" s="60">
        <v>40</v>
      </c>
      <c r="G83" s="64"/>
      <c r="H83" s="60"/>
      <c r="I83" s="64"/>
      <c r="J83" s="60"/>
      <c r="K83" s="64"/>
      <c r="L83" s="60"/>
      <c r="M83" s="64"/>
      <c r="N83" s="60"/>
      <c r="O83" s="64"/>
      <c r="P83" s="60">
        <f>SUM(tblTempolibero[[#This Row],[Gen]:[Dic]])</f>
        <v>112</v>
      </c>
      <c r="Q83" s="64"/>
    </row>
    <row r="84" spans="1:17" ht="21" customHeight="1" x14ac:dyDescent="0.2">
      <c r="B84" s="42"/>
      <c r="C84" s="29" t="s">
        <v>5</v>
      </c>
      <c r="D84" s="63">
        <f>SUBTOTAL(109,tblTempolibero[Gen])</f>
        <v>39</v>
      </c>
      <c r="E84" s="62">
        <f>SUBTOTAL(109,tblTempolibero[Feb])</f>
        <v>33</v>
      </c>
      <c r="F84" s="63">
        <f>SUBTOTAL(109,tblTempolibero[Marzo])</f>
        <v>40</v>
      </c>
      <c r="G84" s="62">
        <f>SUBTOTAL(109,tblTempolibero[Aprile])</f>
        <v>0</v>
      </c>
      <c r="H84" s="63">
        <f>SUBTOTAL(109,tblTempolibero[Mag])</f>
        <v>0</v>
      </c>
      <c r="I84" s="62">
        <f>SUBTOTAL(109,tblTempolibero[Giugno])</f>
        <v>0</v>
      </c>
      <c r="J84" s="63">
        <f>SUBTOTAL(109,tblTempolibero[Luglio])</f>
        <v>0</v>
      </c>
      <c r="K84" s="62">
        <f>SUBTOTAL(109,tblTempolibero[Ago])</f>
        <v>0</v>
      </c>
      <c r="L84" s="63">
        <f>SUBTOTAL(109,tblTempolibero[Set])</f>
        <v>0</v>
      </c>
      <c r="M84" s="62">
        <f>SUBTOTAL(109,tblTempolibero[Ott])</f>
        <v>0</v>
      </c>
      <c r="N84" s="63">
        <f>SUBTOTAL(109,tblTempolibero[Nov])</f>
        <v>0</v>
      </c>
      <c r="O84" s="62">
        <f>SUBTOTAL(109,tblTempolibero[Dic])</f>
        <v>0</v>
      </c>
      <c r="P84" s="63">
        <f>SUBTOTAL(109,tblTempolibero[Anno])</f>
        <v>112</v>
      </c>
      <c r="Q84" s="16"/>
    </row>
    <row r="85" spans="1:17" ht="8.1" customHeight="1" x14ac:dyDescent="0.2">
      <c r="B85" s="42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</row>
    <row r="86" spans="1:17" ht="20.100000000000001" customHeight="1" x14ac:dyDescent="0.2">
      <c r="B86" s="2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</row>
    <row r="87" spans="1:17" ht="21" customHeight="1" x14ac:dyDescent="0.2">
      <c r="B87" s="43"/>
      <c r="C87" s="33" t="s">
        <v>56</v>
      </c>
      <c r="D87" s="17"/>
      <c r="E87" s="6"/>
      <c r="F87" s="17"/>
      <c r="G87" s="6"/>
      <c r="H87" s="17"/>
      <c r="I87" s="6"/>
      <c r="J87" s="17"/>
      <c r="K87" s="6"/>
      <c r="L87" s="17"/>
      <c r="M87" s="6"/>
      <c r="N87" s="17"/>
      <c r="O87" s="6"/>
      <c r="P87" s="17"/>
      <c r="Q87" s="6"/>
    </row>
    <row r="88" spans="1:17" s="14" customFormat="1" ht="8.1" hidden="1" customHeight="1" x14ac:dyDescent="0.2">
      <c r="A88" s="2"/>
      <c r="B88" s="43"/>
      <c r="C88" t="s">
        <v>57</v>
      </c>
      <c r="D88" t="s">
        <v>86</v>
      </c>
      <c r="E88" t="s">
        <v>88</v>
      </c>
      <c r="F88" t="s">
        <v>90</v>
      </c>
      <c r="G88" t="s">
        <v>92</v>
      </c>
      <c r="H88" t="s">
        <v>95</v>
      </c>
      <c r="I88" t="s">
        <v>97</v>
      </c>
      <c r="J88" t="s">
        <v>99</v>
      </c>
      <c r="K88" t="s">
        <v>101</v>
      </c>
      <c r="L88" t="s">
        <v>103</v>
      </c>
      <c r="M88" t="s">
        <v>105</v>
      </c>
      <c r="N88" t="s">
        <v>107</v>
      </c>
      <c r="O88" t="s">
        <v>109</v>
      </c>
      <c r="P88" t="s">
        <v>111</v>
      </c>
      <c r="Q88" t="s">
        <v>113</v>
      </c>
    </row>
    <row r="89" spans="1:17" ht="15.95" customHeight="1" x14ac:dyDescent="0.2">
      <c r="C89" s="47" t="s">
        <v>58</v>
      </c>
      <c r="D89" s="65"/>
      <c r="E89" s="64"/>
      <c r="F89" s="65"/>
      <c r="G89" s="64"/>
      <c r="H89" s="65"/>
      <c r="I89" s="64"/>
      <c r="J89" s="65"/>
      <c r="K89" s="64"/>
      <c r="L89" s="65"/>
      <c r="M89" s="64"/>
      <c r="N89" s="65"/>
      <c r="O89" s="64"/>
      <c r="P89" s="65">
        <f>SUM(tblQuote[[#This Row],[Gen]:[Dic]])</f>
        <v>0</v>
      </c>
      <c r="Q89" s="64"/>
    </row>
    <row r="90" spans="1:17" ht="15.95" customHeight="1" x14ac:dyDescent="0.2">
      <c r="B90" s="43"/>
      <c r="C90" s="7" t="s">
        <v>59</v>
      </c>
      <c r="D90" s="65"/>
      <c r="E90" s="64"/>
      <c r="F90" s="65"/>
      <c r="G90" s="64"/>
      <c r="H90" s="65"/>
      <c r="I90" s="64"/>
      <c r="J90" s="65"/>
      <c r="K90" s="64"/>
      <c r="L90" s="65"/>
      <c r="M90" s="64"/>
      <c r="N90" s="65"/>
      <c r="O90" s="64"/>
      <c r="P90" s="65">
        <f>SUM(tblQuote[[#This Row],[Gen]:[Dic]])</f>
        <v>0</v>
      </c>
      <c r="Q90" s="62"/>
    </row>
    <row r="91" spans="1:17" ht="15.95" customHeight="1" x14ac:dyDescent="0.2">
      <c r="B91" s="43"/>
      <c r="C91" s="7" t="s">
        <v>60</v>
      </c>
      <c r="D91" s="65"/>
      <c r="E91" s="64"/>
      <c r="F91" s="65"/>
      <c r="G91" s="64"/>
      <c r="H91" s="65"/>
      <c r="I91" s="64"/>
      <c r="J91" s="65"/>
      <c r="K91" s="64"/>
      <c r="L91" s="65"/>
      <c r="M91" s="64"/>
      <c r="N91" s="65"/>
      <c r="O91" s="64"/>
      <c r="P91" s="65">
        <f>SUM(tblQuote[[#This Row],[Gen]:[Dic]])</f>
        <v>0</v>
      </c>
      <c r="Q91" s="64"/>
    </row>
    <row r="92" spans="1:17" ht="15.95" customHeight="1" x14ac:dyDescent="0.2">
      <c r="B92" s="43"/>
      <c r="C92" s="7" t="s">
        <v>61</v>
      </c>
      <c r="D92" s="65"/>
      <c r="E92" s="64"/>
      <c r="F92" s="65"/>
      <c r="G92" s="64"/>
      <c r="H92" s="65"/>
      <c r="I92" s="64"/>
      <c r="J92" s="65"/>
      <c r="K92" s="64"/>
      <c r="L92" s="65"/>
      <c r="M92" s="64"/>
      <c r="N92" s="65"/>
      <c r="O92" s="64"/>
      <c r="P92" s="65">
        <f>SUM(tblQuote[[#This Row],[Gen]:[Dic]])</f>
        <v>0</v>
      </c>
      <c r="Q92" s="62"/>
    </row>
    <row r="93" spans="1:17" ht="15.95" customHeight="1" x14ac:dyDescent="0.2">
      <c r="B93" s="43"/>
      <c r="C93" s="7" t="s">
        <v>62</v>
      </c>
      <c r="D93" s="65"/>
      <c r="E93" s="64"/>
      <c r="F93" s="65"/>
      <c r="G93" s="64"/>
      <c r="H93" s="65"/>
      <c r="I93" s="64"/>
      <c r="J93" s="65"/>
      <c r="K93" s="64"/>
      <c r="L93" s="65"/>
      <c r="M93" s="64"/>
      <c r="N93" s="65"/>
      <c r="O93" s="64"/>
      <c r="P93" s="65">
        <f>SUM(tblQuote[[#This Row],[Gen]:[Dic]])</f>
        <v>0</v>
      </c>
      <c r="Q93" s="64"/>
    </row>
    <row r="94" spans="1:17" ht="15.95" customHeight="1" x14ac:dyDescent="0.2">
      <c r="B94" s="43"/>
      <c r="C94" s="7" t="s">
        <v>63</v>
      </c>
      <c r="D94" s="65">
        <v>29</v>
      </c>
      <c r="E94" s="64">
        <v>18</v>
      </c>
      <c r="F94" s="65">
        <v>17</v>
      </c>
      <c r="G94" s="64"/>
      <c r="H94" s="65"/>
      <c r="I94" s="64"/>
      <c r="J94" s="65"/>
      <c r="K94" s="64"/>
      <c r="L94" s="65"/>
      <c r="M94" s="64"/>
      <c r="N94" s="65"/>
      <c r="O94" s="64"/>
      <c r="P94" s="65">
        <f>SUM(tblQuote[[#This Row],[Gen]:[Dic]])</f>
        <v>64</v>
      </c>
      <c r="Q94" s="62"/>
    </row>
    <row r="95" spans="1:17" ht="15.95" customHeight="1" x14ac:dyDescent="0.2">
      <c r="B95" s="43"/>
      <c r="C95" s="7" t="s">
        <v>64</v>
      </c>
      <c r="D95" s="65"/>
      <c r="E95" s="64"/>
      <c r="F95" s="65"/>
      <c r="G95" s="64"/>
      <c r="H95" s="65"/>
      <c r="I95" s="64"/>
      <c r="J95" s="65"/>
      <c r="K95" s="64"/>
      <c r="L95" s="65"/>
      <c r="M95" s="64"/>
      <c r="N95" s="65"/>
      <c r="O95" s="64"/>
      <c r="P95" s="65">
        <f>SUM(tblQuote[[#This Row],[Gen]:[Dic]])</f>
        <v>0</v>
      </c>
      <c r="Q95" s="64"/>
    </row>
    <row r="96" spans="1:17" ht="21" customHeight="1" x14ac:dyDescent="0.2">
      <c r="B96" s="43"/>
      <c r="C96" s="29" t="s">
        <v>5</v>
      </c>
      <c r="D96" s="66">
        <f>SUBTOTAL(109,tblQuote[Gen])</f>
        <v>29</v>
      </c>
      <c r="E96" s="62">
        <f>SUBTOTAL(109,tblQuote[Feb])</f>
        <v>18</v>
      </c>
      <c r="F96" s="66">
        <f>SUBTOTAL(109,tblQuote[Marzo])</f>
        <v>17</v>
      </c>
      <c r="G96" s="62">
        <f>SUBTOTAL(109,tblQuote[Aprile])</f>
        <v>0</v>
      </c>
      <c r="H96" s="66">
        <f>SUBTOTAL(109,tblQuote[Mag])</f>
        <v>0</v>
      </c>
      <c r="I96" s="62">
        <f>SUBTOTAL(109,tblQuote[Giugno])</f>
        <v>0</v>
      </c>
      <c r="J96" s="66">
        <f>SUBTOTAL(109,tblQuote[Luglio])</f>
        <v>0</v>
      </c>
      <c r="K96" s="62">
        <f>SUBTOTAL(109,tblQuote[Ago])</f>
        <v>0</v>
      </c>
      <c r="L96" s="66">
        <f>SUBTOTAL(109,tblQuote[Set])</f>
        <v>0</v>
      </c>
      <c r="M96" s="62">
        <f>SUBTOTAL(109,tblQuote[Ott])</f>
        <v>0</v>
      </c>
      <c r="N96" s="66">
        <f>SUBTOTAL(109,tblQuote[Nov])</f>
        <v>0</v>
      </c>
      <c r="O96" s="62">
        <f>SUBTOTAL(109,tblQuote[Dic])</f>
        <v>0</v>
      </c>
      <c r="P96" s="66">
        <f>SUBTOTAL(109,tblQuote[Anno])</f>
        <v>64</v>
      </c>
      <c r="Q96" s="16"/>
    </row>
    <row r="97" spans="1:17" s="14" customFormat="1" ht="8.1" customHeight="1" x14ac:dyDescent="0.2">
      <c r="A97" s="2"/>
      <c r="B97" s="43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1:17" ht="20.100000000000001" customHeight="1" x14ac:dyDescent="0.2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ht="21" customHeight="1" x14ac:dyDescent="0.2">
      <c r="B99" s="43"/>
      <c r="C99" s="33" t="s">
        <v>65</v>
      </c>
      <c r="D99" s="17"/>
      <c r="E99" s="6"/>
      <c r="F99" s="17"/>
      <c r="G99" s="6"/>
      <c r="H99" s="17"/>
      <c r="I99" s="6"/>
      <c r="J99" s="17"/>
      <c r="K99" s="6"/>
      <c r="L99" s="17"/>
      <c r="M99" s="6"/>
      <c r="N99" s="17"/>
      <c r="O99" s="6"/>
      <c r="P99" s="17"/>
      <c r="Q99" s="6"/>
    </row>
    <row r="100" spans="1:17" ht="15.95" hidden="1" customHeight="1" x14ac:dyDescent="0.2">
      <c r="B100" s="43"/>
      <c r="C100" t="s">
        <v>66</v>
      </c>
      <c r="D100" t="s">
        <v>86</v>
      </c>
      <c r="E100" t="s">
        <v>88</v>
      </c>
      <c r="F100" t="s">
        <v>90</v>
      </c>
      <c r="G100" t="s">
        <v>92</v>
      </c>
      <c r="H100" t="s">
        <v>95</v>
      </c>
      <c r="I100" t="s">
        <v>97</v>
      </c>
      <c r="J100" t="s">
        <v>99</v>
      </c>
      <c r="K100" t="s">
        <v>101</v>
      </c>
      <c r="L100" t="s">
        <v>103</v>
      </c>
      <c r="M100" t="s">
        <v>105</v>
      </c>
      <c r="N100" t="s">
        <v>107</v>
      </c>
      <c r="O100" t="s">
        <v>109</v>
      </c>
      <c r="P100" t="s">
        <v>111</v>
      </c>
      <c r="Q100" t="s">
        <v>113</v>
      </c>
    </row>
    <row r="101" spans="1:17" ht="15.95" customHeight="1" x14ac:dyDescent="0.2">
      <c r="B101" s="43"/>
      <c r="C101" s="7" t="s">
        <v>67</v>
      </c>
      <c r="D101" s="65"/>
      <c r="E101" s="64"/>
      <c r="F101" s="65">
        <v>29</v>
      </c>
      <c r="G101" s="64"/>
      <c r="H101" s="65"/>
      <c r="I101" s="64"/>
      <c r="J101" s="65"/>
      <c r="K101" s="64"/>
      <c r="L101" s="65"/>
      <c r="M101" s="64"/>
      <c r="N101" s="65"/>
      <c r="O101" s="64"/>
      <c r="P101" s="65">
        <f>SUM(tblPersonali[[#This Row],[Gen]:[Dic]])</f>
        <v>29</v>
      </c>
      <c r="Q101" s="64"/>
    </row>
    <row r="102" spans="1:17" ht="15.95" customHeight="1" x14ac:dyDescent="0.2">
      <c r="B102" s="43"/>
      <c r="C102" s="7" t="s">
        <v>68</v>
      </c>
      <c r="D102" s="65"/>
      <c r="E102" s="64">
        <v>35</v>
      </c>
      <c r="F102" s="65"/>
      <c r="G102" s="64"/>
      <c r="H102" s="65"/>
      <c r="I102" s="64"/>
      <c r="J102" s="65"/>
      <c r="K102" s="64"/>
      <c r="L102" s="65"/>
      <c r="M102" s="64"/>
      <c r="N102" s="65"/>
      <c r="O102" s="64"/>
      <c r="P102" s="65">
        <f>SUM(tblPersonali[[#This Row],[Gen]:[Dic]])</f>
        <v>35</v>
      </c>
      <c r="Q102" s="62"/>
    </row>
    <row r="103" spans="1:17" ht="15.95" customHeight="1" x14ac:dyDescent="0.2">
      <c r="B103" s="43"/>
      <c r="C103" s="7" t="s">
        <v>69</v>
      </c>
      <c r="D103" s="65">
        <v>25</v>
      </c>
      <c r="E103" s="64">
        <v>25</v>
      </c>
      <c r="F103" s="65">
        <v>25</v>
      </c>
      <c r="G103" s="64"/>
      <c r="H103" s="65"/>
      <c r="I103" s="64"/>
      <c r="J103" s="65"/>
      <c r="K103" s="64"/>
      <c r="L103" s="65"/>
      <c r="M103" s="64"/>
      <c r="N103" s="65"/>
      <c r="O103" s="64"/>
      <c r="P103" s="65">
        <f>SUM(tblPersonali[[#This Row],[Gen]:[Dic]])</f>
        <v>75</v>
      </c>
      <c r="Q103" s="64"/>
    </row>
    <row r="104" spans="1:17" ht="15.95" customHeight="1" x14ac:dyDescent="0.2">
      <c r="B104" s="43"/>
      <c r="C104" s="7" t="s">
        <v>70</v>
      </c>
      <c r="D104" s="65"/>
      <c r="E104" s="64"/>
      <c r="F104" s="65"/>
      <c r="G104" s="64"/>
      <c r="H104" s="65"/>
      <c r="I104" s="64"/>
      <c r="J104" s="65"/>
      <c r="K104" s="64"/>
      <c r="L104" s="65"/>
      <c r="M104" s="64"/>
      <c r="N104" s="65"/>
      <c r="O104" s="64"/>
      <c r="P104" s="65">
        <f>SUM(tblPersonali[[#This Row],[Gen]:[Dic]])</f>
        <v>0</v>
      </c>
      <c r="Q104" s="62"/>
    </row>
    <row r="105" spans="1:17" ht="15.95" customHeight="1" x14ac:dyDescent="0.2">
      <c r="B105" s="43"/>
      <c r="C105" s="7" t="s">
        <v>71</v>
      </c>
      <c r="D105" s="65"/>
      <c r="E105" s="64"/>
      <c r="F105" s="65"/>
      <c r="G105" s="64"/>
      <c r="H105" s="65"/>
      <c r="I105" s="64"/>
      <c r="J105" s="65"/>
      <c r="K105" s="64"/>
      <c r="L105" s="65"/>
      <c r="M105" s="64"/>
      <c r="N105" s="65"/>
      <c r="O105" s="64"/>
      <c r="P105" s="65">
        <f>SUM(tblPersonali[[#This Row],[Gen]:[Dic]])</f>
        <v>0</v>
      </c>
      <c r="Q105" s="64"/>
    </row>
    <row r="106" spans="1:17" s="14" customFormat="1" ht="21" customHeight="1" x14ac:dyDescent="0.2">
      <c r="A106" s="2"/>
      <c r="B106" s="43"/>
      <c r="C106" s="29" t="s">
        <v>5</v>
      </c>
      <c r="D106" s="66">
        <f>SUBTOTAL(109,tblPersonali[Gen])</f>
        <v>25</v>
      </c>
      <c r="E106" s="62">
        <f>SUBTOTAL(109,tblPersonali[Feb])</f>
        <v>60</v>
      </c>
      <c r="F106" s="66">
        <f>SUBTOTAL(109,tblPersonali[Marzo])</f>
        <v>54</v>
      </c>
      <c r="G106" s="62">
        <f>SUBTOTAL(109,tblPersonali[Aprile])</f>
        <v>0</v>
      </c>
      <c r="H106" s="66">
        <f>SUBTOTAL(109,tblPersonali[Mag])</f>
        <v>0</v>
      </c>
      <c r="I106" s="62">
        <f>SUBTOTAL(109,tblPersonali[Giugno])</f>
        <v>0</v>
      </c>
      <c r="J106" s="66">
        <f>SUBTOTAL(109,tblPersonali[Luglio])</f>
        <v>0</v>
      </c>
      <c r="K106" s="62">
        <f>SUBTOTAL(109,tblPersonali[Ago])</f>
        <v>0</v>
      </c>
      <c r="L106" s="66">
        <f>SUBTOTAL(109,tblPersonali[Set])</f>
        <v>0</v>
      </c>
      <c r="M106" s="62">
        <f>SUBTOTAL(109,tblPersonali[Ott])</f>
        <v>0</v>
      </c>
      <c r="N106" s="66">
        <f>SUBTOTAL(109,tblPersonali[Nov])</f>
        <v>0</v>
      </c>
      <c r="O106" s="62">
        <f>SUBTOTAL(109,tblPersonali[Dic])</f>
        <v>0</v>
      </c>
      <c r="P106" s="66">
        <f>SUBTOTAL(109,tblPersonali[Anno])</f>
        <v>139</v>
      </c>
      <c r="Q106" s="16"/>
    </row>
    <row r="107" spans="1:17" ht="8.1" customHeight="1" x14ac:dyDescent="0.2">
      <c r="B107" s="43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</row>
    <row r="108" spans="1:17" ht="20.100000000000001" customHeight="1" x14ac:dyDescent="0.2">
      <c r="B108" s="2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</row>
    <row r="109" spans="1:17" ht="21" customHeight="1" x14ac:dyDescent="0.2">
      <c r="B109" s="42"/>
      <c r="C109" s="31" t="s">
        <v>72</v>
      </c>
      <c r="D109" s="18"/>
      <c r="E109" s="6"/>
      <c r="F109" s="18"/>
      <c r="G109" s="6"/>
      <c r="H109" s="18"/>
      <c r="I109" s="6"/>
      <c r="J109" s="18"/>
      <c r="K109" s="6"/>
      <c r="L109" s="18"/>
      <c r="M109" s="6"/>
      <c r="N109" s="18"/>
      <c r="O109" s="6"/>
      <c r="P109" s="18"/>
      <c r="Q109" s="6"/>
    </row>
    <row r="110" spans="1:17" ht="15.95" hidden="1" customHeight="1" x14ac:dyDescent="0.2">
      <c r="B110" s="42"/>
      <c r="C110" t="s">
        <v>73</v>
      </c>
      <c r="D110" t="s">
        <v>86</v>
      </c>
      <c r="E110" t="s">
        <v>88</v>
      </c>
      <c r="F110" t="s">
        <v>90</v>
      </c>
      <c r="G110" t="s">
        <v>92</v>
      </c>
      <c r="H110" t="s">
        <v>95</v>
      </c>
      <c r="I110" t="s">
        <v>97</v>
      </c>
      <c r="J110" t="s">
        <v>99</v>
      </c>
      <c r="K110" t="s">
        <v>101</v>
      </c>
      <c r="L110" t="s">
        <v>103</v>
      </c>
      <c r="M110" t="s">
        <v>105</v>
      </c>
      <c r="N110" t="s">
        <v>107</v>
      </c>
      <c r="O110" t="s">
        <v>109</v>
      </c>
      <c r="P110" t="s">
        <v>111</v>
      </c>
      <c r="Q110" t="s">
        <v>113</v>
      </c>
    </row>
    <row r="111" spans="1:17" ht="15.95" customHeight="1" x14ac:dyDescent="0.2">
      <c r="B111" s="42"/>
      <c r="C111" s="7" t="s">
        <v>74</v>
      </c>
      <c r="D111" s="60">
        <v>25</v>
      </c>
      <c r="E111" s="64">
        <v>25</v>
      </c>
      <c r="F111" s="60">
        <v>25</v>
      </c>
      <c r="G111" s="64"/>
      <c r="H111" s="60"/>
      <c r="I111" s="64"/>
      <c r="J111" s="60"/>
      <c r="K111" s="64"/>
      <c r="L111" s="60"/>
      <c r="M111" s="64"/>
      <c r="N111" s="60"/>
      <c r="O111" s="64"/>
      <c r="P111" s="60">
        <f>SUM(tblFinanze[[#This Row],[Gen]:[Dic]])</f>
        <v>75</v>
      </c>
      <c r="Q111" s="64"/>
    </row>
    <row r="112" spans="1:17" ht="15.95" customHeight="1" x14ac:dyDescent="0.2">
      <c r="B112" s="42"/>
      <c r="C112" s="7" t="s">
        <v>75</v>
      </c>
      <c r="D112" s="60">
        <v>45</v>
      </c>
      <c r="E112" s="64">
        <v>45</v>
      </c>
      <c r="F112" s="60">
        <v>45</v>
      </c>
      <c r="G112" s="64"/>
      <c r="H112" s="60"/>
      <c r="I112" s="64"/>
      <c r="J112" s="60"/>
      <c r="K112" s="64"/>
      <c r="L112" s="60"/>
      <c r="M112" s="64"/>
      <c r="N112" s="60"/>
      <c r="O112" s="64"/>
      <c r="P112" s="60">
        <f>SUM(tblFinanze[[#This Row],[Gen]:[Dic]])</f>
        <v>135</v>
      </c>
      <c r="Q112" s="62"/>
    </row>
    <row r="113" spans="1:17" ht="15.95" customHeight="1" x14ac:dyDescent="0.2">
      <c r="B113" s="42"/>
      <c r="C113" s="7" t="s">
        <v>76</v>
      </c>
      <c r="D113" s="60">
        <v>75</v>
      </c>
      <c r="E113" s="64">
        <v>75</v>
      </c>
      <c r="F113" s="60">
        <v>75</v>
      </c>
      <c r="G113" s="64"/>
      <c r="H113" s="60"/>
      <c r="I113" s="64"/>
      <c r="J113" s="60"/>
      <c r="K113" s="64"/>
      <c r="L113" s="60"/>
      <c r="M113" s="64"/>
      <c r="N113" s="60"/>
      <c r="O113" s="64"/>
      <c r="P113" s="60">
        <f>SUM(tblFinanze[[#This Row],[Gen]:[Dic]])</f>
        <v>225</v>
      </c>
      <c r="Q113" s="64"/>
    </row>
    <row r="114" spans="1:17" ht="15.95" customHeight="1" x14ac:dyDescent="0.2">
      <c r="B114" s="42"/>
      <c r="C114" s="7" t="s">
        <v>77</v>
      </c>
      <c r="D114" s="60"/>
      <c r="E114" s="64"/>
      <c r="F114" s="60"/>
      <c r="G114" s="64"/>
      <c r="H114" s="60"/>
      <c r="I114" s="64"/>
      <c r="J114" s="60"/>
      <c r="K114" s="64"/>
      <c r="L114" s="60"/>
      <c r="M114" s="64"/>
      <c r="N114" s="60"/>
      <c r="O114" s="64"/>
      <c r="P114" s="60">
        <f>SUM(tblFinanze[[#This Row],[Gen]:[Dic]])</f>
        <v>0</v>
      </c>
      <c r="Q114" s="62"/>
    </row>
    <row r="115" spans="1:17" s="14" customFormat="1" ht="15.95" customHeight="1" x14ac:dyDescent="0.2">
      <c r="A115" s="2"/>
      <c r="B115" s="42"/>
      <c r="C115" s="7" t="s">
        <v>78</v>
      </c>
      <c r="D115" s="60">
        <v>32</v>
      </c>
      <c r="E115" s="64">
        <v>34</v>
      </c>
      <c r="F115" s="60">
        <v>1</v>
      </c>
      <c r="G115" s="64"/>
      <c r="H115" s="60"/>
      <c r="I115" s="64"/>
      <c r="J115" s="60"/>
      <c r="K115" s="64"/>
      <c r="L115" s="60"/>
      <c r="M115" s="64"/>
      <c r="N115" s="60"/>
      <c r="O115" s="64"/>
      <c r="P115" s="60">
        <f>SUM(tblFinanze[[#This Row],[Gen]:[Dic]])</f>
        <v>67</v>
      </c>
      <c r="Q115" s="64"/>
    </row>
    <row r="116" spans="1:17" ht="21" customHeight="1" x14ac:dyDescent="0.2">
      <c r="B116" s="42"/>
      <c r="C116" s="29" t="s">
        <v>5</v>
      </c>
      <c r="D116" s="63">
        <f>SUBTOTAL(109,tblFinanze[Gen])</f>
        <v>177</v>
      </c>
      <c r="E116" s="62">
        <f>SUBTOTAL(109,tblFinanze[Feb])</f>
        <v>179</v>
      </c>
      <c r="F116" s="63">
        <f>SUBTOTAL(109,tblFinanze[Marzo])</f>
        <v>146</v>
      </c>
      <c r="G116" s="62">
        <f>SUBTOTAL(109,tblFinanze[Aprile])</f>
        <v>0</v>
      </c>
      <c r="H116" s="63">
        <f>SUBTOTAL(109,tblFinanze[Mag])</f>
        <v>0</v>
      </c>
      <c r="I116" s="62">
        <f>SUBTOTAL(109,tblFinanze[Giugno])</f>
        <v>0</v>
      </c>
      <c r="J116" s="63">
        <f>SUBTOTAL(109,tblFinanze[Luglio])</f>
        <v>0</v>
      </c>
      <c r="K116" s="62">
        <f>SUBTOTAL(109,tblFinanze[Ago])</f>
        <v>0</v>
      </c>
      <c r="L116" s="63">
        <f>SUBTOTAL(109,tblFinanze[Set])</f>
        <v>0</v>
      </c>
      <c r="M116" s="62">
        <f>SUBTOTAL(109,tblFinanze[Ott])</f>
        <v>0</v>
      </c>
      <c r="N116" s="63">
        <f>SUBTOTAL(109,tblFinanze[Nov])</f>
        <v>0</v>
      </c>
      <c r="O116" s="62">
        <f>SUBTOTAL(109,tblFinanze[Dic])</f>
        <v>0</v>
      </c>
      <c r="P116" s="63">
        <f>SUBTOTAL(109,tblFinanze[Anno])</f>
        <v>502</v>
      </c>
      <c r="Q116" s="16"/>
    </row>
    <row r="117" spans="1:17" ht="8.1" customHeight="1" x14ac:dyDescent="0.2">
      <c r="B117" s="42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</row>
    <row r="118" spans="1:17" ht="20.100000000000001" customHeight="1" x14ac:dyDescent="0.2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ht="21" customHeight="1" x14ac:dyDescent="0.2">
      <c r="B119" s="42"/>
      <c r="C119" s="31" t="s">
        <v>79</v>
      </c>
      <c r="D119" s="18"/>
      <c r="E119" s="6"/>
      <c r="F119" s="18"/>
      <c r="G119" s="6"/>
      <c r="H119" s="18"/>
      <c r="I119" s="6"/>
      <c r="J119" s="18"/>
      <c r="K119" s="6"/>
      <c r="L119" s="18"/>
      <c r="M119" s="6"/>
      <c r="N119" s="18"/>
      <c r="O119" s="6"/>
      <c r="P119" s="18"/>
      <c r="Q119" s="6"/>
    </row>
    <row r="120" spans="1:17" s="14" customFormat="1" ht="15.95" hidden="1" customHeight="1" x14ac:dyDescent="0.2">
      <c r="A120" s="2"/>
      <c r="B120" s="42"/>
      <c r="C120" t="s">
        <v>80</v>
      </c>
      <c r="D120" t="s">
        <v>86</v>
      </c>
      <c r="E120" t="s">
        <v>88</v>
      </c>
      <c r="F120" t="s">
        <v>90</v>
      </c>
      <c r="G120" t="s">
        <v>92</v>
      </c>
      <c r="H120" s="69" t="s">
        <v>95</v>
      </c>
      <c r="I120" t="s">
        <v>97</v>
      </c>
      <c r="J120" t="s">
        <v>99</v>
      </c>
      <c r="K120" t="s">
        <v>101</v>
      </c>
      <c r="L120" t="s">
        <v>103</v>
      </c>
      <c r="M120" t="s">
        <v>105</v>
      </c>
      <c r="N120" t="s">
        <v>107</v>
      </c>
      <c r="O120" t="s">
        <v>109</v>
      </c>
      <c r="P120" t="s">
        <v>111</v>
      </c>
      <c r="Q120" t="s">
        <v>113</v>
      </c>
    </row>
    <row r="121" spans="1:17" ht="15.95" customHeight="1" x14ac:dyDescent="0.2">
      <c r="B121" s="42"/>
      <c r="C121" s="28" t="s">
        <v>81</v>
      </c>
      <c r="D121" s="60"/>
      <c r="E121" s="64"/>
      <c r="F121" s="60"/>
      <c r="G121" s="64"/>
      <c r="H121" s="60"/>
      <c r="I121" s="64"/>
      <c r="J121" s="60"/>
      <c r="K121" s="64"/>
      <c r="L121" s="60"/>
      <c r="M121" s="64"/>
      <c r="N121" s="60"/>
      <c r="O121" s="64"/>
      <c r="P121" s="60">
        <f>SUM(tabVarie[[#This Row],[Gen]:[Dic]])</f>
        <v>0</v>
      </c>
      <c r="Q121" s="64"/>
    </row>
    <row r="122" spans="1:17" ht="15.95" customHeight="1" x14ac:dyDescent="0.2">
      <c r="B122" s="42"/>
      <c r="C122" s="28" t="s">
        <v>81</v>
      </c>
      <c r="D122" s="60"/>
      <c r="E122" s="64"/>
      <c r="F122" s="60"/>
      <c r="G122" s="64"/>
      <c r="H122" s="60"/>
      <c r="I122" s="64"/>
      <c r="J122" s="60"/>
      <c r="K122" s="64"/>
      <c r="L122" s="60"/>
      <c r="M122" s="64"/>
      <c r="N122" s="60"/>
      <c r="O122" s="64"/>
      <c r="P122" s="60">
        <f>SUM(tabVarie[[#This Row],[Gen]:[Dic]])</f>
        <v>0</v>
      </c>
      <c r="Q122" s="62"/>
    </row>
    <row r="123" spans="1:17" ht="15.95" customHeight="1" x14ac:dyDescent="0.2">
      <c r="B123" s="42"/>
      <c r="C123" s="28" t="s">
        <v>81</v>
      </c>
      <c r="D123" s="60"/>
      <c r="E123" s="64"/>
      <c r="F123" s="60"/>
      <c r="G123" s="64"/>
      <c r="H123" s="60"/>
      <c r="I123" s="64"/>
      <c r="J123" s="60"/>
      <c r="K123" s="64"/>
      <c r="L123" s="60"/>
      <c r="M123" s="64"/>
      <c r="N123" s="60"/>
      <c r="O123" s="64"/>
      <c r="P123" s="60">
        <f>SUM(tabVarie[[#This Row],[Gen]:[Dic]])</f>
        <v>0</v>
      </c>
      <c r="Q123" s="64"/>
    </row>
    <row r="124" spans="1:17" ht="15.95" customHeight="1" x14ac:dyDescent="0.2">
      <c r="B124" s="42"/>
      <c r="C124" s="28" t="s">
        <v>81</v>
      </c>
      <c r="D124" s="60"/>
      <c r="E124" s="64"/>
      <c r="F124" s="60"/>
      <c r="G124" s="64"/>
      <c r="H124" s="60"/>
      <c r="I124" s="64"/>
      <c r="J124" s="60"/>
      <c r="K124" s="64"/>
      <c r="L124" s="60"/>
      <c r="M124" s="64"/>
      <c r="N124" s="60"/>
      <c r="O124" s="64"/>
      <c r="P124" s="60">
        <f>SUM(tabVarie[[#This Row],[Gen]:[Dic]])</f>
        <v>0</v>
      </c>
      <c r="Q124" s="62"/>
    </row>
    <row r="125" spans="1:17" ht="15.95" customHeight="1" x14ac:dyDescent="0.2">
      <c r="B125" s="42"/>
      <c r="C125" s="28" t="s">
        <v>81</v>
      </c>
      <c r="D125" s="60"/>
      <c r="E125" s="64"/>
      <c r="F125" s="60"/>
      <c r="G125" s="64"/>
      <c r="H125" s="60"/>
      <c r="I125" s="64"/>
      <c r="J125" s="60"/>
      <c r="K125" s="64"/>
      <c r="L125" s="60"/>
      <c r="M125" s="64"/>
      <c r="N125" s="60"/>
      <c r="O125" s="64"/>
      <c r="P125" s="60">
        <f>SUM(tabVarie[[#This Row],[Gen]:[Dic]])</f>
        <v>0</v>
      </c>
      <c r="Q125" s="64"/>
    </row>
    <row r="126" spans="1:17" ht="21" customHeight="1" x14ac:dyDescent="0.2">
      <c r="C126" s="55" t="s">
        <v>5</v>
      </c>
      <c r="D126" s="63">
        <f>SUBTOTAL(109,tabVarie[Gen])</f>
        <v>0</v>
      </c>
      <c r="E126" s="62">
        <f>SUBTOTAL(109,tabVarie[Feb])</f>
        <v>0</v>
      </c>
      <c r="F126" s="63">
        <f>SUBTOTAL(109,tabVarie[Marzo])</f>
        <v>0</v>
      </c>
      <c r="G126" s="62">
        <f>SUBTOTAL(109,tabVarie[Aprile])</f>
        <v>0</v>
      </c>
      <c r="H126" s="63">
        <f>SUBTOTAL(109,tabVarie[Mag])</f>
        <v>0</v>
      </c>
      <c r="I126" s="62">
        <f>SUBTOTAL(109,tabVarie[Giugno])</f>
        <v>0</v>
      </c>
      <c r="J126" s="63">
        <f>SUBTOTAL(109,tabVarie[Luglio])</f>
        <v>0</v>
      </c>
      <c r="K126" s="62">
        <f>SUBTOTAL(109,tabVarie[Ago])</f>
        <v>0</v>
      </c>
      <c r="L126" s="63">
        <f>SUBTOTAL(109,tabVarie[Set])</f>
        <v>0</v>
      </c>
      <c r="M126" s="62">
        <f>SUBTOTAL(109,tabVarie[Ott])</f>
        <v>0</v>
      </c>
      <c r="N126" s="63">
        <f>SUBTOTAL(109,tabVarie[Nov])</f>
        <v>0</v>
      </c>
      <c r="O126" s="62">
        <f>SUBTOTAL(109,tabVarie[Dic])</f>
        <v>0</v>
      </c>
      <c r="P126" s="63">
        <f>SUBTOTAL(109,tabVarie[Anno])</f>
        <v>0</v>
      </c>
      <c r="Q126" s="16"/>
    </row>
    <row r="127" spans="1:17" ht="8.1" customHeight="1" x14ac:dyDescent="0.2">
      <c r="C127" s="71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</row>
    <row r="128" spans="1:17" ht="20.100000000000001" customHeight="1" x14ac:dyDescent="0.2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ht="21" customHeight="1" x14ac:dyDescent="0.2">
      <c r="B129" s="34"/>
      <c r="C129" s="36" t="s">
        <v>82</v>
      </c>
      <c r="D129" s="40" t="s">
        <v>85</v>
      </c>
      <c r="E129" s="37" t="s">
        <v>87</v>
      </c>
      <c r="F129" s="40" t="s">
        <v>89</v>
      </c>
      <c r="G129" s="37" t="s">
        <v>91</v>
      </c>
      <c r="H129" s="40" t="s">
        <v>93</v>
      </c>
      <c r="I129" s="37" t="s">
        <v>96</v>
      </c>
      <c r="J129" s="40" t="s">
        <v>98</v>
      </c>
      <c r="K129" s="37" t="s">
        <v>100</v>
      </c>
      <c r="L129" s="40" t="s">
        <v>102</v>
      </c>
      <c r="M129" s="37" t="s">
        <v>104</v>
      </c>
      <c r="N129" s="40" t="s">
        <v>106</v>
      </c>
      <c r="O129" s="37" t="s">
        <v>108</v>
      </c>
      <c r="P129" s="40" t="s">
        <v>110</v>
      </c>
      <c r="Q129" s="36" t="s">
        <v>112</v>
      </c>
    </row>
    <row r="130" spans="2:17" ht="15.95" customHeight="1" x14ac:dyDescent="0.2">
      <c r="B130" s="34"/>
      <c r="C130" s="38" t="s">
        <v>83</v>
      </c>
      <c r="D130" s="67">
        <f>SUM(tabVarie[[#Totals],[Gen]],tblFinanze[[#Totals],[Gen]],tblPersonali[[#Totals],[Gen]],tblQuote[[#Totals],[Gen]],tblTempolibero[[#Totals],[Gen]],tblVacanze[[#Totals],[Gen]],tblSalute[[#Totals],[Gen]],tblSvago[[#Totals],[Gen]],tblTransporti[[#Totals],[Gen]],tblQuotidiane[[#Totals],[Gen]],tblCasa[[#Totals],[Gen]])</f>
        <v>2687</v>
      </c>
      <c r="E130" s="68">
        <f>SUM(tabVarie[[#Totals],[Feb]],tblFinanze[[#Totals],[Feb]],tblPersonali[[#Totals],[Feb]],tblQuote[[#Totals],[Feb]],tblTempolibero[[#Totals],[Feb]],tblVacanze[[#Totals],[Feb]],tblSalute[[#Totals],[Feb]],tblSvago[[#Totals],[Feb]],tblTransporti[[#Totals],[Feb]],tblQuotidiane[[#Totals],[Feb]],tblCasa[[#Totals],[Feb]])</f>
        <v>3429</v>
      </c>
      <c r="F130" s="67">
        <f>SUM(tabVarie[[#Totals],[Marzo]],tblFinanze[[#Totals],[Marzo]],tblPersonali[[#Totals],[Marzo]],tblQuote[[#Totals],[Marzo]],tblTempolibero[[#Totals],[Marzo]],tblVacanze[[#Totals],[Marzo]],tblSalute[[#Totals],[Marzo]],tblSvago[[#Totals],[Marzo]],tblTransporti[[#Totals],[Marzo]],tblQuotidiane[[#Totals],[Marzo]],tblCasa[[#Totals],[Marzo]])</f>
        <v>2718</v>
      </c>
      <c r="G130" s="68">
        <f>SUM(tabVarie[[#Totals],[Aprile]],tblFinanze[[#Totals],[Aprile]],tblPersonali[[#Totals],[Aprile]],tblQuote[[#Totals],[Aprile]],tblTempolibero[[#Totals],[Aprile]],tblVacanze[[#Totals],[Aprile]],tblSalute[[#Totals],[Aprile]],tblSvago[[#Totals],[Aprile]],tblTransporti[[#Totals],[Aprile]],tblQuotidiane[[#Totals],[Aprile]],tblCasa[[#Totals],[Aprile]])</f>
        <v>0</v>
      </c>
      <c r="H130" s="67">
        <f>SUM(tabVarie[[#Totals],[Mag]],tblFinanze[[#Totals],[Mag]],tblPersonali[[#Totals],[Mag]],tblQuote[[#Totals],[Mag]],tblTempolibero[[#Totals],[Mag]],tblVacanze[[#Totals],[Mag]],tblSalute[[#Totals],[Mag]],tblSvago[[#Totals],[Mag]],tblTransporti[[#Totals],[Mag]],tblQuotidiane[[#Totals],[Mag]],tblCasa[[#Totals],[Mag]])</f>
        <v>0</v>
      </c>
      <c r="I130" s="68">
        <f>SUM(tabVarie[[#Totals],[Giugno]],tblFinanze[[#Totals],[Giugno]],tblPersonali[[#Totals],[Giugno]],tblQuote[[#Totals],[Giugno]],tblTempolibero[[#Totals],[Giugno]],tblVacanze[[#Totals],[Giugno]],tblSalute[[#Totals],[Giugno]],tblSvago[[#Totals],[Giugno]],tblTransporti[[#Totals],[Giugno]],tblQuotidiane[[#Totals],[Giugno]],tblCasa[[#Totals],[Giugno]])</f>
        <v>0</v>
      </c>
      <c r="J130" s="67">
        <f>SUM(tabVarie[[#Totals],[Luglio]],tblFinanze[[#Totals],[Luglio]],tblPersonali[[#Totals],[Luglio]],tblQuote[[#Totals],[Luglio]],tblTempolibero[[#Totals],[Luglio]],tblVacanze[[#Totals],[Luglio]],tblSalute[[#Totals],[Luglio]],tblSvago[[#Totals],[Luglio]],tblTransporti[[#Totals],[Luglio]],tblQuotidiane[[#Totals],[Luglio]],tblCasa[[#Totals],[Luglio]])</f>
        <v>0</v>
      </c>
      <c r="K130" s="68">
        <f>SUM(tabVarie[[#Totals],[Ago]],tblFinanze[[#Totals],[Ago]],tblPersonali[[#Totals],[Ago]],tblQuote[[#Totals],[Ago]],tblTempolibero[[#Totals],[Ago]],tblVacanze[[#Totals],[Ago]],tblSalute[[#Totals],[Ago]],tblSvago[[#Totals],[Ago]],tblTransporti[[#Totals],[Ago]],tblQuotidiane[[#Totals],[Ago]],tblCasa[[#Totals],[Ago]])</f>
        <v>0</v>
      </c>
      <c r="L130" s="67">
        <f>SUM(tabVarie[[#Totals],[Set]],tblFinanze[[#Totals],[Set]],tblPersonali[[#Totals],[Set]],tblQuote[[#Totals],[Set]],tblTempolibero[[#Totals],[Set]],tblVacanze[[#Totals],[Set]],tblSalute[[#Totals],[Set]],tblSvago[[#Totals],[Set]],tblTransporti[[#Totals],[Set]],tblQuotidiane[[#Totals],[Set]],tblCasa[[#Totals],[Set]])</f>
        <v>0</v>
      </c>
      <c r="M130" s="68">
        <f>SUM(tabVarie[[#Totals],[Ott]],tblFinanze[[#Totals],[Ott]],tblPersonali[[#Totals],[Ott]],tblQuote[[#Totals],[Ott]],tblTempolibero[[#Totals],[Ott]],tblVacanze[[#Totals],[Ott]],tblSalute[[#Totals],[Ott]],tblSvago[[#Totals],[Ott]],tblTransporti[[#Totals],[Ott]],tblQuotidiane[[#Totals],[Ott]],tblCasa[[#Totals],[Ott]])</f>
        <v>0</v>
      </c>
      <c r="N130" s="67">
        <f>SUM(tabVarie[[#Totals],[Nov]],tblFinanze[[#Totals],[Nov]],tblPersonali[[#Totals],[Nov]],tblQuote[[#Totals],[Nov]],tblTempolibero[[#Totals],[Nov]],tblVacanze[[#Totals],[Nov]],tblSalute[[#Totals],[Nov]],tblSvago[[#Totals],[Nov]],tblTransporti[[#Totals],[Nov]],tblQuotidiane[[#Totals],[Nov]],tblCasa[[#Totals],[Nov]])</f>
        <v>0</v>
      </c>
      <c r="O130" s="68">
        <f>SUM(tabVarie[[#Totals],[Dic]],tblFinanze[[#Totals],[Dic]],tblPersonali[[#Totals],[Dic]],tblQuote[[#Totals],[Dic]],tblTempolibero[[#Totals],[Dic]],tblVacanze[[#Totals],[Dic]],tblSalute[[#Totals],[Dic]],tblSvago[[#Totals],[Dic]],tblTransporti[[#Totals],[Dic]],tblQuotidiane[[#Totals],[Dic]],tblCasa[[#Totals],[Dic]])</f>
        <v>0</v>
      </c>
      <c r="P130" s="67">
        <f>SUM(tabVarie[[#Totals],[Anno]],tblFinanze[[#Totals],[Anno]],tblPersonali[[#Totals],[Anno]],tblQuote[[#Totals],[Anno]],tblTempolibero[[#Totals],[Anno]],tblVacanze[[#Totals],[Anno]],tblSalute[[#Totals],[Anno]],tblSvago[[#Totals],[Anno]],tblTransporti[[#Totals],[Anno]],tblQuotidiane[[#Totals],[Anno]],tblCasa[[#Totals],[Anno]])</f>
        <v>8834</v>
      </c>
      <c r="Q130" s="68"/>
    </row>
    <row r="131" spans="2:17" ht="15.95" customHeight="1" x14ac:dyDescent="0.2">
      <c r="B131" s="34"/>
      <c r="C131" s="38" t="s">
        <v>84</v>
      </c>
      <c r="D131" s="67">
        <f>tabEntrate[[#Totals],[Gen]]-D130</f>
        <v>1036</v>
      </c>
      <c r="E131" s="68">
        <f>tabEntrate[[#Totals],[Feb]]-E130</f>
        <v>127</v>
      </c>
      <c r="F131" s="67">
        <f>tabEntrate[[#Totals],[Marzo]]-F130</f>
        <v>926</v>
      </c>
      <c r="G131" s="68">
        <f>tabEntrate[[#Totals],[Aprile]]-G130</f>
        <v>0</v>
      </c>
      <c r="H131" s="67">
        <f>tabEntrate[[#Totals],[Maggio]]-H130</f>
        <v>0</v>
      </c>
      <c r="I131" s="68">
        <f>tabEntrate[[#Totals],[Giugno]]-I130</f>
        <v>0</v>
      </c>
      <c r="J131" s="67">
        <f>tabEntrate[[#Totals],[Luglio]]-J130</f>
        <v>0</v>
      </c>
      <c r="K131" s="68">
        <f>tabEntrate[[#Totals],[Ago]]-K130</f>
        <v>0</v>
      </c>
      <c r="L131" s="67">
        <f>tabEntrate[[#Totals],[Set]]-L130</f>
        <v>0</v>
      </c>
      <c r="M131" s="68">
        <f>tabEntrate[[#Totals],[Ott]]-M130</f>
        <v>0</v>
      </c>
      <c r="N131" s="67">
        <f>tabEntrate[[#Totals],[Nov]]-N130</f>
        <v>0</v>
      </c>
      <c r="O131" s="68">
        <f>tabEntrate[[#Totals],[Dic]]-O130</f>
        <v>0</v>
      </c>
      <c r="P131" s="67">
        <f>tabEntrate[[#Totals],[Anno]]-P130</f>
        <v>2089</v>
      </c>
      <c r="Q131" s="68"/>
    </row>
    <row r="132" spans="2:17" ht="8.1" customHeight="1" x14ac:dyDescent="0.2">
      <c r="B132" s="34"/>
      <c r="C132" s="39"/>
      <c r="D132" s="41"/>
      <c r="E132" s="39"/>
      <c r="F132" s="41"/>
      <c r="G132" s="39"/>
      <c r="H132" s="41"/>
      <c r="I132" s="39"/>
      <c r="J132" s="41"/>
      <c r="K132" s="39"/>
      <c r="L132" s="41"/>
      <c r="M132" s="39"/>
      <c r="N132" s="41"/>
      <c r="O132" s="39"/>
      <c r="P132" s="41"/>
      <c r="Q132" s="39"/>
    </row>
    <row r="142" spans="2:17" x14ac:dyDescent="0.2">
      <c r="E142" s="3"/>
    </row>
  </sheetData>
  <mergeCells count="23">
    <mergeCell ref="C2:D2"/>
    <mergeCell ref="C22:Q22"/>
    <mergeCell ref="C11:Q11"/>
    <mergeCell ref="C34:Q34"/>
    <mergeCell ref="C128:Q128"/>
    <mergeCell ref="C118:Q118"/>
    <mergeCell ref="C108:Q108"/>
    <mergeCell ref="C98:Q98"/>
    <mergeCell ref="C86:Q86"/>
    <mergeCell ref="C77:Q77"/>
    <mergeCell ref="C66:Q66"/>
    <mergeCell ref="C54:Q54"/>
    <mergeCell ref="C45:Q45"/>
    <mergeCell ref="C85:Q85"/>
    <mergeCell ref="C97:Q97"/>
    <mergeCell ref="C107:Q107"/>
    <mergeCell ref="C117:Q117"/>
    <mergeCell ref="C127:Q127"/>
    <mergeCell ref="C33:Q33"/>
    <mergeCell ref="C44:Q44"/>
    <mergeCell ref="C53:Q53"/>
    <mergeCell ref="C65:Q65"/>
    <mergeCell ref="C76:Q76"/>
  </mergeCells>
  <conditionalFormatting sqref="D131:P131">
    <cfRule type="cellIs" dxfId="393" priority="1" operator="lessThan">
      <formula>0</formula>
    </cfRule>
  </conditionalFormatting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ignoredErrors>
    <ignoredError sqref="D130:H130 I130:P130" calculatedColumn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0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PERSONALE'!D121:O121</xm:f>
              <xm:sqref>Q121</xm:sqref>
            </x14:sparkline>
            <x14:sparkline>
              <xm:f>'BUDGET PERSONALE'!D122:O122</xm:f>
              <xm:sqref>Q122</xm:sqref>
            </x14:sparkline>
            <x14:sparkline>
              <xm:f>'BUDGET PERSONALE'!D123:O123</xm:f>
              <xm:sqref>Q123</xm:sqref>
            </x14:sparkline>
            <x14:sparkline>
              <xm:f>'BUDGET PERSONALE'!D124:O124</xm:f>
              <xm:sqref>Q124</xm:sqref>
            </x14:sparkline>
            <x14:sparkline>
              <xm:f>'BUDGET PERSONALE'!D125:O125</xm:f>
              <xm:sqref>Q125</xm:sqref>
            </x14:sparkline>
            <x14:sparkline>
              <xm:f>'BUDGET PERSONALE'!D126:O126</xm:f>
              <xm:sqref>Q126</xm:sqref>
            </x14:sparkline>
          </x14:sparklines>
        </x14:sparklineGroup>
        <x14:sparklineGroup displayEmptyCellsAs="gap" high="1" low="1" xr2:uid="{00000000-0003-0000-0000-00000C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PERSONALE'!D7:O7</xm:f>
              <xm:sqref>Q7</xm:sqref>
            </x14:sparkline>
            <x14:sparkline>
              <xm:f>'BUDGET PERSONALE'!D8:O8</xm:f>
              <xm:sqref>Q8</xm:sqref>
            </x14:sparkline>
            <x14:sparkline>
              <xm:f>'BUDGET PERSONALE'!D9:O9</xm:f>
              <xm:sqref>Q9</xm:sqref>
            </x14:sparkline>
            <x14:sparkline>
              <xm:f>'BUDGET PERSONALE'!D10:O10</xm:f>
              <xm:sqref>Q10</xm:sqref>
            </x14:sparkline>
          </x14:sparklines>
        </x14:sparklineGroup>
        <x14:sparklineGroup displayEmptyCellsAs="gap" high="1" low="1" xr2:uid="{00000000-0003-0000-0000-00000B000000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PERSONALE'!D130:O130</xm:f>
              <xm:sqref>Q130</xm:sqref>
            </x14:sparkline>
            <x14:sparkline>
              <xm:f>'BUDGET PERSONALE'!D131:O131</xm:f>
              <xm:sqref>Q131</xm:sqref>
            </x14:sparkline>
          </x14:sparklines>
        </x14:sparklineGroup>
        <x14:sparklineGroup displayEmptyCellsAs="gap" high="1" low="1" xr2:uid="{00000000-0003-0000-00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PERSONALE'!D111:O111</xm:f>
              <xm:sqref>Q111</xm:sqref>
            </x14:sparkline>
            <x14:sparkline>
              <xm:f>'BUDGET PERSONALE'!D112:O112</xm:f>
              <xm:sqref>Q112</xm:sqref>
            </x14:sparkline>
            <x14:sparkline>
              <xm:f>'BUDGET PERSONALE'!D113:O113</xm:f>
              <xm:sqref>Q113</xm:sqref>
            </x14:sparkline>
            <x14:sparkline>
              <xm:f>'BUDGET PERSONALE'!D114:O114</xm:f>
              <xm:sqref>Q114</xm:sqref>
            </x14:sparkline>
            <x14:sparkline>
              <xm:f>'BUDGET PERSONALE'!D115:O115</xm:f>
              <xm:sqref>Q115</xm:sqref>
            </x14:sparkline>
            <x14:sparkline>
              <xm:f>'BUDGET PERSONALE'!D116:O116</xm:f>
              <xm:sqref>Q116</xm:sqref>
            </x14:sparkline>
          </x14:sparklines>
        </x14:sparklineGroup>
        <x14:sparklineGroup displayEmptyCellsAs="gap" high="1" low="1" xr2:uid="{00000000-0003-0000-00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PERSONALE'!D101:O101</xm:f>
              <xm:sqref>Q101</xm:sqref>
            </x14:sparkline>
            <x14:sparkline>
              <xm:f>'BUDGET PERSONALE'!D102:O102</xm:f>
              <xm:sqref>Q102</xm:sqref>
            </x14:sparkline>
            <x14:sparkline>
              <xm:f>'BUDGET PERSONALE'!D103:O103</xm:f>
              <xm:sqref>Q103</xm:sqref>
            </x14:sparkline>
            <x14:sparkline>
              <xm:f>'BUDGET PERSONALE'!D104:O104</xm:f>
              <xm:sqref>Q104</xm:sqref>
            </x14:sparkline>
            <x14:sparkline>
              <xm:f>'BUDGET PERSONALE'!D105:O105</xm:f>
              <xm:sqref>Q105</xm:sqref>
            </x14:sparkline>
            <x14:sparkline>
              <xm:f>'BUDGET PERSONALE'!D106:O106</xm:f>
              <xm:sqref>Q106</xm:sqref>
            </x14:sparkline>
          </x14:sparklines>
        </x14:sparklineGroup>
        <x14:sparklineGroup displayEmptyCellsAs="gap" high="1" low="1" xr2:uid="{00000000-0003-0000-00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PERSONALE'!D89:O89</xm:f>
              <xm:sqref>Q89</xm:sqref>
            </x14:sparkline>
            <x14:sparkline>
              <xm:f>'BUDGET PERSONALE'!D90:O90</xm:f>
              <xm:sqref>Q90</xm:sqref>
            </x14:sparkline>
            <x14:sparkline>
              <xm:f>'BUDGET PERSONALE'!D91:O91</xm:f>
              <xm:sqref>Q91</xm:sqref>
            </x14:sparkline>
            <x14:sparkline>
              <xm:f>'BUDGET PERSONALE'!D92:O92</xm:f>
              <xm:sqref>Q92</xm:sqref>
            </x14:sparkline>
            <x14:sparkline>
              <xm:f>'BUDGET PERSONALE'!D93:O93</xm:f>
              <xm:sqref>Q93</xm:sqref>
            </x14:sparkline>
            <x14:sparkline>
              <xm:f>'BUDGET PERSONALE'!D94:O94</xm:f>
              <xm:sqref>Q94</xm:sqref>
            </x14:sparkline>
            <x14:sparkline>
              <xm:f>'BUDGET PERSONALE'!D95:O95</xm:f>
              <xm:sqref>Q95</xm:sqref>
            </x14:sparkline>
            <x14:sparkline>
              <xm:f>'BUDGET PERSONALE'!D96:O96</xm:f>
              <xm:sqref>Q96</xm:sqref>
            </x14:sparkline>
          </x14:sparklines>
        </x14:sparklineGroup>
        <x14:sparklineGroup displayEmptyCellsAs="gap" high="1" low="1" xr2:uid="{00000000-0003-0000-00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PERSONALE'!D80:O80</xm:f>
              <xm:sqref>Q80</xm:sqref>
            </x14:sparkline>
            <x14:sparkline>
              <xm:f>'BUDGET PERSONALE'!D81:O81</xm:f>
              <xm:sqref>Q81</xm:sqref>
            </x14:sparkline>
            <x14:sparkline>
              <xm:f>'BUDGET PERSONALE'!D82:O82</xm:f>
              <xm:sqref>Q82</xm:sqref>
            </x14:sparkline>
            <x14:sparkline>
              <xm:f>'BUDGET PERSONALE'!D83:O83</xm:f>
              <xm:sqref>Q83</xm:sqref>
            </x14:sparkline>
            <x14:sparkline>
              <xm:f>'BUDGET PERSONALE'!D84:O84</xm:f>
              <xm:sqref>Q84</xm:sqref>
            </x14:sparkline>
          </x14:sparklines>
        </x14:sparklineGroup>
        <x14:sparklineGroup displayEmptyCellsAs="gap" high="1" low="1" xr2:uid="{00000000-0003-0000-00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PERSONALE'!D69:O69</xm:f>
              <xm:sqref>Q69</xm:sqref>
            </x14:sparkline>
            <x14:sparkline>
              <xm:f>'BUDGET PERSONALE'!D70:O70</xm:f>
              <xm:sqref>Q70</xm:sqref>
            </x14:sparkline>
            <x14:sparkline>
              <xm:f>'BUDGET PERSONALE'!D71:O71</xm:f>
              <xm:sqref>Q71</xm:sqref>
            </x14:sparkline>
            <x14:sparkline>
              <xm:f>'BUDGET PERSONALE'!D72:O72</xm:f>
              <xm:sqref>Q72</xm:sqref>
            </x14:sparkline>
            <x14:sparkline>
              <xm:f>'BUDGET PERSONALE'!D73:O73</xm:f>
              <xm:sqref>Q73</xm:sqref>
            </x14:sparkline>
            <x14:sparkline>
              <xm:f>'BUDGET PERSONALE'!D74:O74</xm:f>
              <xm:sqref>Q74</xm:sqref>
            </x14:sparkline>
            <x14:sparkline>
              <xm:f>'BUDGET PERSONALE'!D75:O75</xm:f>
              <xm:sqref>Q75</xm:sqref>
            </x14:sparkline>
          </x14:sparklines>
        </x14:sparklineGroup>
        <x14:sparklineGroup displayEmptyCellsAs="gap" high="1" low="1" xr2:uid="{00000000-0003-0000-00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PERSONALE'!D57:O57</xm:f>
              <xm:sqref>Q57</xm:sqref>
            </x14:sparkline>
            <x14:sparkline>
              <xm:f>'BUDGET PERSONALE'!D58:O58</xm:f>
              <xm:sqref>Q58</xm:sqref>
            </x14:sparkline>
            <x14:sparkline>
              <xm:f>'BUDGET PERSONALE'!D59:O59</xm:f>
              <xm:sqref>Q59</xm:sqref>
            </x14:sparkline>
            <x14:sparkline>
              <xm:f>'BUDGET PERSONALE'!D60:O60</xm:f>
              <xm:sqref>Q60</xm:sqref>
            </x14:sparkline>
            <x14:sparkline>
              <xm:f>'BUDGET PERSONALE'!D61:O61</xm:f>
              <xm:sqref>Q61</xm:sqref>
            </x14:sparkline>
            <x14:sparkline>
              <xm:f>'BUDGET PERSONALE'!D62:O62</xm:f>
              <xm:sqref>Q62</xm:sqref>
            </x14:sparkline>
            <x14:sparkline>
              <xm:f>'BUDGET PERSONALE'!D63:O63</xm:f>
              <xm:sqref>Q63</xm:sqref>
            </x14:sparkline>
            <x14:sparkline>
              <xm:f>'BUDGET PERSONALE'!D64:O64</xm:f>
              <xm:sqref>Q64</xm:sqref>
            </x14:sparkline>
          </x14:sparklines>
        </x14:sparklineGroup>
        <x14:sparklineGroup displayEmptyCellsAs="gap" high="1" low="1" xr2:uid="{00000000-0003-0000-00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PERSONALE'!D48:O48</xm:f>
              <xm:sqref>Q48</xm:sqref>
            </x14:sparkline>
            <x14:sparkline>
              <xm:f>'BUDGET PERSONALE'!D49:O49</xm:f>
              <xm:sqref>Q49</xm:sqref>
            </x14:sparkline>
            <x14:sparkline>
              <xm:f>'BUDGET PERSONALE'!D50:O50</xm:f>
              <xm:sqref>Q50</xm:sqref>
            </x14:sparkline>
            <x14:sparkline>
              <xm:f>'BUDGET PERSONALE'!D51:O51</xm:f>
              <xm:sqref>Q51</xm:sqref>
            </x14:sparkline>
            <x14:sparkline>
              <xm:f>'BUDGET PERSONALE'!D52:O52</xm:f>
              <xm:sqref>Q52</xm:sqref>
            </x14:sparkline>
          </x14:sparklines>
        </x14:sparklineGroup>
        <x14:sparklineGroup displayEmptyCellsAs="gap" high="1" low="1" xr2:uid="{00000000-0003-0000-00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PERSONALE'!D37:O37</xm:f>
              <xm:sqref>Q37</xm:sqref>
            </x14:sparkline>
            <x14:sparkline>
              <xm:f>'BUDGET PERSONALE'!D38:O38</xm:f>
              <xm:sqref>Q38</xm:sqref>
            </x14:sparkline>
            <x14:sparkline>
              <xm:f>'BUDGET PERSONALE'!D39:O39</xm:f>
              <xm:sqref>Q39</xm:sqref>
            </x14:sparkline>
            <x14:sparkline>
              <xm:f>'BUDGET PERSONALE'!D40:O40</xm:f>
              <xm:sqref>Q40</xm:sqref>
            </x14:sparkline>
            <x14:sparkline>
              <xm:f>'BUDGET PERSONALE'!D41:O41</xm:f>
              <xm:sqref>Q41</xm:sqref>
            </x14:sparkline>
            <x14:sparkline>
              <xm:f>'BUDGET PERSONALE'!D42:O42</xm:f>
              <xm:sqref>Q42</xm:sqref>
            </x14:sparkline>
            <x14:sparkline>
              <xm:f>'BUDGET PERSONALE'!D43:O43</xm:f>
              <xm:sqref>Q43</xm:sqref>
            </x14:sparkline>
          </x14:sparklines>
        </x14:sparklineGroup>
        <x14:sparklineGroup displayEmptyCellsAs="gap" high="1" low="1" xr2:uid="{00000000-0003-0000-00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PERSONALE'!D26:O26</xm:f>
              <xm:sqref>Q26</xm:sqref>
            </x14:sparkline>
            <x14:sparkline>
              <xm:f>'BUDGET PERSONALE'!D27:O27</xm:f>
              <xm:sqref>Q27</xm:sqref>
            </x14:sparkline>
            <x14:sparkline>
              <xm:f>'BUDGET PERSONALE'!D28:O28</xm:f>
              <xm:sqref>Q28</xm:sqref>
            </x14:sparkline>
            <x14:sparkline>
              <xm:f>'BUDGET PERSONALE'!D29:O29</xm:f>
              <xm:sqref>Q29</xm:sqref>
            </x14:sparkline>
            <x14:sparkline>
              <xm:f>'BUDGET PERSONALE'!D30:O30</xm:f>
              <xm:sqref>Q30</xm:sqref>
            </x14:sparkline>
            <x14:sparkline>
              <xm:f>'BUDGET PERSONALE'!D31:O31</xm:f>
              <xm:sqref>Q31</xm:sqref>
            </x14:sparkline>
            <x14:sparkline>
              <xm:f>'BUDGET PERSONALE'!D32:O32</xm:f>
              <xm:sqref>Q32</xm:sqref>
            </x14:sparkline>
          </x14:sparklines>
        </x14:sparklineGroup>
        <x14:sparklineGroup displayEmptyCellsAs="gap" high="1" low="1" xr2:uid="{00000000-0003-0000-00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PERSONALE'!D16:O16</xm:f>
              <xm:sqref>Q16</xm:sqref>
            </x14:sparkline>
          </x14:sparklines>
        </x14:sparklineGroup>
        <x14:sparklineGroup displayEmptyCellsAs="gap" high="1" low="1" xr2:uid="{00000000-0003-0000-00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'BUDGET PERSONALE'!D17:O17</xm:f>
              <xm:sqref>Q17</xm:sqref>
            </x14:sparkline>
            <x14:sparkline>
              <xm:f>'BUDGET PERSONALE'!D18:O18</xm:f>
              <xm:sqref>Q18</xm:sqref>
            </x14:sparkline>
            <x14:sparkline>
              <xm:f>'BUDGET PERSONALE'!D19:O19</xm:f>
              <xm:sqref>Q19</xm:sqref>
            </x14:sparkline>
            <x14:sparkline>
              <xm:f>'BUDGET PERSONALE'!D20:O20</xm:f>
              <xm:sqref>Q20</xm:sqref>
            </x14:sparkline>
            <x14:sparkline>
              <xm:f>'BUDGET PERSONALE'!D21:O21</xm:f>
              <xm:sqref>Q21</xm:sqref>
            </x14:sparkline>
          </x14:sparklines>
        </x14:sparklineGroup>
      </x14:sparklineGroups>
    </ext>
  </extLst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Template>TM04035483</ap:Template>
  <ap:ScaleCrop>false</ap:ScaleCrop>
  <ap:HeadingPairs>
    <vt:vector baseType="variant" size="2">
      <vt:variant>
        <vt:lpstr>Fogli di lavoro</vt:lpstr>
      </vt:variant>
      <vt:variant>
        <vt:i4>1</vt:i4>
      </vt:variant>
    </vt:vector>
  </ap:HeadingPairs>
  <ap:TitlesOfParts>
    <vt:vector baseType="lpstr" size="1">
      <vt:lpstr>BUDGET PERSONALE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2018-05-22T04:56:34Z</dcterms:created>
  <dcterms:modified xsi:type="dcterms:W3CDTF">2020-04-17T03:53:27Z</dcterms:modified>
</cp:coreProperties>
</file>